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956" windowHeight="9324" activeTab="0"/>
  </bookViews>
  <sheets>
    <sheet name="Notes" sheetId="1" r:id="rId1"/>
    <sheet name="Assemblage" sheetId="2" r:id="rId2"/>
    <sheet name="Modèle" sheetId="3" r:id="rId3"/>
    <sheet name="Suivi" sheetId="4" r:id="rId4"/>
  </sheets>
  <definedNames>
    <definedName name="_xlnm.Print_Area" localSheetId="2">'Modèle'!$A:$IV</definedName>
  </definedNames>
  <calcPr fullCalcOnLoad="1"/>
</workbook>
</file>

<file path=xl/sharedStrings.xml><?xml version="1.0" encoding="utf-8"?>
<sst xmlns="http://schemas.openxmlformats.org/spreadsheetml/2006/main" count="331" uniqueCount="268">
  <si>
    <t>Date</t>
  </si>
  <si>
    <t>g/L</t>
  </si>
  <si>
    <t>g/100g</t>
  </si>
  <si>
    <t>kg</t>
  </si>
  <si>
    <t>%</t>
  </si>
  <si>
    <t>g</t>
  </si>
  <si>
    <t xml:space="preserve">Volume: </t>
  </si>
  <si>
    <t>Concentrations</t>
  </si>
  <si>
    <t>L</t>
  </si>
  <si>
    <t>Temp</t>
  </si>
  <si>
    <t>TA</t>
  </si>
  <si>
    <t>Temp (C)</t>
  </si>
  <si>
    <t>FSU</t>
  </si>
  <si>
    <t>Interventions</t>
  </si>
  <si>
    <t>Livret de notes pour cidre</t>
  </si>
  <si>
    <t>Cette feuille de calcul combine plusieurs fonctions dans l’objectif de conserver pour archivage une copie de ce fichier pour chacune des cuvées produites.</t>
  </si>
  <si>
    <t>Utilisez la fonction "Enregistrer sous" et donnez au fichier un nom descriptif tel que : 2016-Cuvée1.xls</t>
  </si>
  <si>
    <t xml:space="preserve">Cuvée : </t>
  </si>
  <si>
    <t xml:space="preserve">Millésime : </t>
  </si>
  <si>
    <t xml:space="preserve">Nom : </t>
  </si>
  <si>
    <t xml:space="preserve">Notes </t>
  </si>
  <si>
    <t>Convention générale, sur toutes les feuilles :</t>
  </si>
  <si>
    <t>(À noter que la couleur peut apparaître différemment selon la calibration de l’écran)</t>
  </si>
  <si>
    <t>Les cases de couleur pêche sont utilisées pour l’entrée de données par l’utilisateur</t>
  </si>
  <si>
    <t xml:space="preserve">Les cases de couleur vert pâle sont des données prédéterminées qui peuvent être modifiées </t>
  </si>
  <si>
    <t>Cuvée No 1</t>
  </si>
  <si>
    <t>Les cases non colorées sont pour référence seulement, ces données ne sont pas utilisées pour les calculs</t>
  </si>
  <si>
    <t>Les cases de couleur jaune donnent des résultats importants et ne doivent pas être modifiées</t>
  </si>
  <si>
    <t>Les cases de couleur jaune pâle donnent des résultats de calcul, et ne doivent pas être modifiées</t>
  </si>
  <si>
    <t>Cette feuille de calcul fait partie du matériel d’accompagnement du livre "Du pommier au cidre"</t>
  </si>
  <si>
    <t>Auteur : Claude Jolicoeur ; Éditeur : Le Rouergue</t>
  </si>
  <si>
    <t>Clause de non-responsabilité :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</si>
  <si>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</si>
  <si>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</si>
  <si>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</si>
  <si>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Assistant d’assemblage</t>
  </si>
  <si>
    <t>Variété</t>
  </si>
  <si>
    <t>Quantité</t>
  </si>
  <si>
    <t>Sucre</t>
  </si>
  <si>
    <t>densité</t>
  </si>
  <si>
    <t>Acide</t>
  </si>
  <si>
    <t>Assemblage :</t>
  </si>
  <si>
    <t>Variété 1</t>
  </si>
  <si>
    <t>Variété 2</t>
  </si>
  <si>
    <t>Variété 3</t>
  </si>
  <si>
    <t>Variété 4</t>
  </si>
  <si>
    <t>Correction de l’hydromètre</t>
  </si>
  <si>
    <t>Densité lue :</t>
  </si>
  <si>
    <t>Température :</t>
  </si>
  <si>
    <t>Température en degrés F ou C :</t>
  </si>
  <si>
    <t>Température en degrés C :</t>
  </si>
  <si>
    <t xml:space="preserve">Valeur corrigée de densité relative : </t>
  </si>
  <si>
    <t>Valeurs réelles</t>
  </si>
  <si>
    <t>Si les valeurs réelles mesurées pour le moût diffèrent de ce qui est calculé ci-dessus, on peut modifier la valeur des cases</t>
  </si>
  <si>
    <t xml:space="preserve">Valeurs mesurées : </t>
  </si>
  <si>
    <t>Sulfitage du moût</t>
  </si>
  <si>
    <t>On détermine ici la quantité de métabisulfite de potassium (ou de sodium) à ajouter à une quantité de moût</t>
  </si>
  <si>
    <t xml:space="preserve">pH min : </t>
  </si>
  <si>
    <t xml:space="preserve">pH moy : </t>
  </si>
  <si>
    <t xml:space="preserve">pH max : </t>
  </si>
  <si>
    <t>Si le pH n’a pas été mesuré, une valeur moyenne de pH pour un grand nombre d’échantillons peut être obtenue de la valeur du titre acide. Voir la section 10.3.</t>
  </si>
  <si>
    <t>Pour un TA en g/L d’acide malique indiqué ci-haut, considérant une plage au niveau de confiance 95%,</t>
  </si>
  <si>
    <t>les valeurs minimum, maximum et moyenne du pH seraient :</t>
  </si>
  <si>
    <t>Voir l’article sur le sulfite, section 14.3 :</t>
  </si>
  <si>
    <t xml:space="preserve">pH du moût : </t>
  </si>
  <si>
    <t xml:space="preserve">ppm de SO2 desiré : </t>
  </si>
  <si>
    <t xml:space="preserve">Quantité de moût : </t>
  </si>
  <si>
    <t xml:space="preserve">Ajout recommandé de SO2 pour ce pH : </t>
  </si>
  <si>
    <t>cuillers à café</t>
  </si>
  <si>
    <t xml:space="preserve">grammes  ou </t>
  </si>
  <si>
    <t xml:space="preserve">Metabisulfite de potassium à ajouter : </t>
  </si>
  <si>
    <t>ppm (pleine dose)</t>
  </si>
  <si>
    <t>Calcul pour la quantité d’une substance à ajouter pour obtenir une concentration donnée. Voir Annexe 1.</t>
  </si>
  <si>
    <t>Concentration de la substance</t>
  </si>
  <si>
    <t xml:space="preserve">en ppm : </t>
  </si>
  <si>
    <t xml:space="preserve">en grammes par litre : </t>
  </si>
  <si>
    <t>Quantité de moût</t>
  </si>
  <si>
    <t>Quantité de substance à ajouter</t>
  </si>
  <si>
    <t>grammes</t>
  </si>
  <si>
    <t>Données pour la correction de l’hydromètre</t>
  </si>
  <si>
    <t>Cette feuille de calcul peut automatiquement faire les corrections à l’hydromètre pour la température et la calibration. Pour calibrer l'hydromètre, utilisez la procédure du fichier Hydromètre.xls.</t>
  </si>
  <si>
    <t>Reportez ici les coefficients de régression du fichier Hydromètre.xls</t>
  </si>
  <si>
    <t xml:space="preserve">Pente : </t>
  </si>
  <si>
    <t xml:space="preserve">Origine : </t>
  </si>
  <si>
    <t xml:space="preserve"> Entrez Pente = 1 et Origine = 0 pour ne pas faire de correction</t>
  </si>
  <si>
    <t>20C</t>
  </si>
  <si>
    <t>Masse volumique de l’eau à cette température :</t>
  </si>
  <si>
    <t>Coefficients de la régression pour calculer la masse volumique de l’eau. Ne pas modifier.</t>
  </si>
  <si>
    <t>Température de calibration de l’hydromètre</t>
  </si>
  <si>
    <t xml:space="preserve">Entrez "15C", "20C", ou "60F" : </t>
  </si>
  <si>
    <t>Modèle pour la fermentation du cidre</t>
  </si>
  <si>
    <t>Entrez vos données dans les cases de couleur pêche</t>
  </si>
  <si>
    <t>Consultez l’annexe 2 de "Du pommier au cidre" pour des instruction sur l’utilisation de cette feuille de calcul</t>
  </si>
  <si>
    <t>1- Propriétés du moût</t>
  </si>
  <si>
    <t>Constantes et facteurs utilisés par la feuille de calcul - Ne pas modifier sauf les cases en vert pour ajustements</t>
  </si>
  <si>
    <t xml:space="preserve">Densité relative : </t>
  </si>
  <si>
    <t xml:space="preserve">Degrés Brix : </t>
  </si>
  <si>
    <t xml:space="preserve">Titre acide (équivalent acide malique) : </t>
  </si>
  <si>
    <t xml:space="preserve">Masse volumique du moût (ρ) à 20ºC : </t>
  </si>
  <si>
    <t xml:space="preserve">Quantité ou volume (à 20ºC) : </t>
  </si>
  <si>
    <t>litres</t>
  </si>
  <si>
    <t xml:space="preserve">Masse totale du moût : </t>
  </si>
  <si>
    <t>2- Ajustement à la teneur en sucre</t>
  </si>
  <si>
    <t>Tel que vu dans la section 9.3, on ne peut connaître à partir de la densité que la teneur en sucre moyenne d’un grand nombre d’échantillons.</t>
  </si>
  <si>
    <t>Ce facteur est une correction en % qui est ajoutée ou soustraite à la teneur moyenne (Smoy) pour tenir compte de la différence entre vos pommes et la moyenne</t>
  </si>
  <si>
    <t>Ce facteur peut être ajusté, mais il est préférable d’utiliser le facteur d’ajustement</t>
  </si>
  <si>
    <t xml:space="preserve">Teneur moyenne en sucre, à la densité donnée (Smoy) : </t>
  </si>
  <si>
    <t>Facteur pour le calcul de la teneur moyenne en sucre (Smoy) - Voir Section 9.3</t>
  </si>
  <si>
    <t>Entrez votre facteur d’ajustement ici. Notez que sa valeur devrait être inférieure à +/- 11.3% car ce nombre correspond à la plage à niveau de confiance de 95%.</t>
  </si>
  <si>
    <t xml:space="preserve">Facteur d’ajustement pour le sucre (+ / -) : </t>
  </si>
  <si>
    <t xml:space="preserve">Teneur en sucre ajustée (S) : </t>
  </si>
  <si>
    <t>Une valeur de 0,060 est donnée par Warcollier dans La Cidrerie</t>
  </si>
  <si>
    <t xml:space="preserve">Alcool en puissance : </t>
  </si>
  <si>
    <t>Facteur pour l’alcool en puissance (Section 9.1)</t>
  </si>
  <si>
    <t>3- Ajouts au moût et conditions au départ de la fermentation</t>
  </si>
  <si>
    <t>Dans cette section, on calcule l’effet d’ajout de sucre et/ou d’eau au moût (chaptalisation, dilution)</t>
  </si>
  <si>
    <t xml:space="preserve">Quantité de sucre ajouté (grammes par litre de moût) : </t>
  </si>
  <si>
    <t xml:space="preserve">Quantité totale à ajouter : </t>
  </si>
  <si>
    <t>kg de sucre</t>
  </si>
  <si>
    <t xml:space="preserve">Quantité d’eau ajoutée (ml par litre de moût) : </t>
  </si>
  <si>
    <t>mL/L</t>
  </si>
  <si>
    <t>litres d’eau</t>
  </si>
  <si>
    <t xml:space="preserve">Densité relative du moût après ajouts : </t>
  </si>
  <si>
    <t xml:space="preserve">Variation de densité : </t>
  </si>
  <si>
    <t>points</t>
  </si>
  <si>
    <t xml:space="preserve">Brix (g/100g) : </t>
  </si>
  <si>
    <t>4- Conditions du cidre après la fermentation principale</t>
  </si>
  <si>
    <t>Entrez une valeur pour la teneur en sucre résiduel si vous désirez que le programme calcule les conditions finales en supposant qu’une partie du sucre n’ait pas fermenté</t>
  </si>
  <si>
    <t xml:space="preserve">Sucre résiduel (grammes par litre) : </t>
  </si>
  <si>
    <t xml:space="preserve">Alcool acquis : </t>
  </si>
  <si>
    <t>% vol</t>
  </si>
  <si>
    <t>5- Dosage du sucre pour prise de mousse</t>
  </si>
  <si>
    <t>Entrez la quantité de sucre ajouté pour la prise de mousse, et la quantité d’eau pour diluer ce sucre</t>
  </si>
  <si>
    <t xml:space="preserve">Volume de cidre considéré : </t>
  </si>
  <si>
    <t>6- Cidre fait (sans MLF)</t>
  </si>
  <si>
    <t xml:space="preserve">Densité rel. Finale : </t>
  </si>
  <si>
    <t>Valeur moyenne qui peut être modifiée. Si le cidre est saturé de CO2 au soutirage final, une valeur de 2 peut être utilisée.</t>
  </si>
  <si>
    <t xml:space="preserve">Effervescence : </t>
  </si>
  <si>
    <t xml:space="preserve">CO2 en solution (g/L) : </t>
  </si>
  <si>
    <t>g/l de CO2 déjà en solution au soutirage final, doit être entre 0 et 2 g/L</t>
  </si>
  <si>
    <t xml:space="preserve">Volumes de CO2 : </t>
  </si>
  <si>
    <t xml:space="preserve">Titre alcoolique : </t>
  </si>
  <si>
    <t xml:space="preserve">Chute de densité (points) : </t>
  </si>
  <si>
    <t>g/l Masse volumique du CO2 aux conditions standard</t>
  </si>
  <si>
    <t>7- Analyse du cidre</t>
  </si>
  <si>
    <t>L’analyse du cidre devrait donner les résultats suivants</t>
  </si>
  <si>
    <t>Par la méthode du résidu (évaporation de l’alcool et remplacement par de l’eau)</t>
  </si>
  <si>
    <t xml:space="preserve">Extrait sec : </t>
  </si>
  <si>
    <t xml:space="preserve">Densité relative du résidu : </t>
  </si>
  <si>
    <t>Table de Honneyman</t>
  </si>
  <si>
    <t>Régression de la table de Honneyman (Section 15.4)</t>
  </si>
  <si>
    <t xml:space="preserve">Extrait sec réduit : </t>
  </si>
  <si>
    <t xml:space="preserve">Différence (d2-d1) : </t>
  </si>
  <si>
    <t>8- Fermentation malolactique</t>
  </si>
  <si>
    <t>Dans cette section on évalue la varietion de densité causée par la fermentation malolactique</t>
  </si>
  <si>
    <t>Entrez le pourcentage de l’acide malique initial qui est transformé en acide lactique</t>
  </si>
  <si>
    <t>(relation approximative, valide à 20C, et pour d &lt; 1,110)</t>
  </si>
  <si>
    <t xml:space="preserve">Transformation en % de l’acide malique : </t>
  </si>
  <si>
    <t xml:space="preserve">Acidité totale avant FML (acide malique) : </t>
  </si>
  <si>
    <t xml:space="preserve">Acidité totale après FML : </t>
  </si>
  <si>
    <t xml:space="preserve">K - alcool sur chute de densité : </t>
  </si>
  <si>
    <t xml:space="preserve">Densité relative finale avec FML : </t>
  </si>
  <si>
    <t>Détails des calculs    (pour T = 20C)</t>
  </si>
  <si>
    <t xml:space="preserve">Calculs faits pour : </t>
  </si>
  <si>
    <t>Evolution des principaux constituants du cidre au fil des transformations</t>
  </si>
  <si>
    <t>Pour ce modèle, on suppose que toutes les substances du cidre se comportent selon une des catégories suivantes : eau / solides / alcool / gaz carbonique / autres produits de fermentation</t>
  </si>
  <si>
    <t>Toutes valeurs en grammes</t>
  </si>
  <si>
    <t>Moût orignal</t>
  </si>
  <si>
    <t>1er ajout de sucre/eau</t>
  </si>
  <si>
    <t>Départ de fermentation</t>
  </si>
  <si>
    <t>Fermentation</t>
  </si>
  <si>
    <t>Après fermentation</t>
  </si>
  <si>
    <t>2e ajout de sucre/eau</t>
  </si>
  <si>
    <t>Cidre après ajout</t>
  </si>
  <si>
    <t>Cidre fait</t>
  </si>
  <si>
    <t xml:space="preserve">Eau : </t>
  </si>
  <si>
    <t xml:space="preserve">Solides (en équivalent sucre) : </t>
  </si>
  <si>
    <t>Coefficients de la relation de Pasteur (Section 15.4)</t>
  </si>
  <si>
    <t xml:space="preserve">Alcool : </t>
  </si>
  <si>
    <t>g/100g de sucre - Taux de production d’alcool - devrait être entre 47 et 48,4</t>
  </si>
  <si>
    <t xml:space="preserve">Gaz carbonique : </t>
  </si>
  <si>
    <t>g/100g de sucre - Taux de production, CO2 - devrait être entre 46,5 et 48</t>
  </si>
  <si>
    <t xml:space="preserve">Autres produits de fermentation : </t>
  </si>
  <si>
    <t>g/100g de sucre - Taux de production, autres produits</t>
  </si>
  <si>
    <t xml:space="preserve">Masse totale : </t>
  </si>
  <si>
    <t xml:space="preserve">Sucre fermentescible : </t>
  </si>
  <si>
    <t xml:space="preserve">Volume (L) : </t>
  </si>
  <si>
    <t>Routine de mélange</t>
  </si>
  <si>
    <t>Cette routine permet de calculer le volume approximatif d’un mélange d’eau, de sucre et d’alcool</t>
  </si>
  <si>
    <t>Quantités des substances mélangées en grammes</t>
  </si>
  <si>
    <t>ρ_eau, masse volumique de l’eau à 20C (g/L)</t>
  </si>
  <si>
    <t xml:space="preserve">Eau (+ équivalent eau) : </t>
  </si>
  <si>
    <t>Régression pour le calcul du Brix à partir de la densité (section 9.1)</t>
  </si>
  <si>
    <t>Mélange des solides avec l’eau</t>
  </si>
  <si>
    <t xml:space="preserve">Masse : </t>
  </si>
  <si>
    <t>Régression pour le calcul de la densité à partir du Brix (Section 9.1)</t>
  </si>
  <si>
    <t xml:space="preserve">Brix : </t>
  </si>
  <si>
    <t>Ajout de l’alcool, contraction volumique</t>
  </si>
  <si>
    <t xml:space="preserve">Volume d'alcool (L): </t>
  </si>
  <si>
    <t>g/L - Masse volumique de l’alcool pur (ρ_alcool) à 20C</t>
  </si>
  <si>
    <t xml:space="preserve">Somme des volumes : </t>
  </si>
  <si>
    <t xml:space="preserve">Rapport volumique R (%) : </t>
  </si>
  <si>
    <t>Régression pour la contraction volumique du mélange eau-alcool (Section 15.4)</t>
  </si>
  <si>
    <t xml:space="preserve">Contraction volumique Δ (%) : </t>
  </si>
  <si>
    <t>Résultats</t>
  </si>
  <si>
    <t xml:space="preserve">Volume du mélange (L) : </t>
  </si>
  <si>
    <t>Une valeur positive pour ce facteur augmente la contraction volumique, ce qui réduit le volume et augmente la densité finale</t>
  </si>
  <si>
    <t xml:space="preserve">Masse totale (g) : </t>
  </si>
  <si>
    <t>Une valeur négative fait l’inverse et réduit la densité finale.</t>
  </si>
  <si>
    <t xml:space="preserve">Masse volumique (g/L) : </t>
  </si>
  <si>
    <t>% (+ / -) Facteur d’ajustement pour la contraction volumique</t>
  </si>
  <si>
    <t xml:space="preserve">Titre alcoolique (% vol) : </t>
  </si>
  <si>
    <t>Pour 1 litre de cidre</t>
  </si>
  <si>
    <t>Acide malique transformé (par litre)</t>
  </si>
  <si>
    <t>mL</t>
  </si>
  <si>
    <t>Masse molaire de l’acide lactique C3H6O3 (g/mol)</t>
  </si>
  <si>
    <t>Acide lactique produit</t>
  </si>
  <si>
    <t>Masse molaire de l’acide malique C4H6O5 (g/mol)</t>
  </si>
  <si>
    <t xml:space="preserve">Changement de masse : </t>
  </si>
  <si>
    <t>g (= masse de CO2 produit)</t>
  </si>
  <si>
    <t xml:space="preserve">Changement de volume : </t>
  </si>
  <si>
    <t>Masse volumique, acide lactique, 20C (g/L)</t>
  </si>
  <si>
    <t xml:space="preserve">Masse finale du cidre : </t>
  </si>
  <si>
    <t xml:space="preserve">Volume final du cidre : </t>
  </si>
  <si>
    <t xml:space="preserve">Masse volumique : </t>
  </si>
  <si>
    <t>Masse volumique, acide malique, 20C (g/L)</t>
  </si>
  <si>
    <r>
      <t>Teneur en sucre apparent (S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) : </t>
    </r>
  </si>
  <si>
    <r>
      <t>Facteur pour la relation entre le sucre apparent (ou solides totaux) et la densité (Section 9.1) ; 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 = 2608 (d-1)</t>
    </r>
  </si>
  <si>
    <t>Ne pas modifier les cases en jaune</t>
  </si>
  <si>
    <t>(données du volet "Assemblage", modifiez au besoin)</t>
  </si>
  <si>
    <t>Note : pour dissoudre du sucre, une quantité d’eau de 2/3 à 3/4 de la quantité de sucre ajouté est habituellement adéquate.</t>
  </si>
  <si>
    <t>C</t>
  </si>
  <si>
    <t>d lue</t>
  </si>
  <si>
    <t>Jours</t>
  </si>
  <si>
    <t>d corr</t>
  </si>
  <si>
    <t>pressage</t>
  </si>
  <si>
    <t>levurage</t>
  </si>
  <si>
    <t>1er soutirage</t>
  </si>
  <si>
    <t>2e soutirage</t>
  </si>
  <si>
    <t>embouteillage</t>
  </si>
  <si>
    <t>Suivi de la fermentation et graphique de la densité</t>
  </si>
  <si>
    <t>Données dans les cases couleur pêche</t>
  </si>
  <si>
    <t>Ne pas modifier les cases jaunes</t>
  </si>
  <si>
    <t>Températures en degrés F ou C :</t>
  </si>
  <si>
    <t>Les noms et les limites des classes d'effervescence et de sucrosité peuvent être modifiés selon les règlementations auxquelles vous êtes assujetti</t>
  </si>
  <si>
    <t>Classes d’effervescence</t>
  </si>
  <si>
    <t>Classes de sucrosité</t>
  </si>
  <si>
    <t>Tableau 16.3</t>
  </si>
  <si>
    <t>Tableau 16.1</t>
  </si>
  <si>
    <t>Nom</t>
  </si>
  <si>
    <t>Limite</t>
  </si>
  <si>
    <t>(vol de CO2)</t>
  </si>
  <si>
    <t>(g/L sucre)</t>
  </si>
  <si>
    <t>Plat</t>
  </si>
  <si>
    <t>Zéro</t>
  </si>
  <si>
    <t>Perlant</t>
  </si>
  <si>
    <t>Extra-brut</t>
  </si>
  <si>
    <t>Pétillant</t>
  </si>
  <si>
    <t>Brut</t>
  </si>
  <si>
    <t>Remplacer cette valeur par 30 pour le Québec (cidre effervescent)</t>
  </si>
  <si>
    <t>Mousseux</t>
  </si>
  <si>
    <t>Demi-sec</t>
  </si>
  <si>
    <t>Remplacer cette valeur par 50 pour le Québec (cidre effervescent)</t>
  </si>
  <si>
    <t>Explosif</t>
  </si>
  <si>
    <t>Doux</t>
  </si>
  <si>
    <t xml:space="preserve">Sucrosité : </t>
  </si>
  <si>
    <t>litre de moût</t>
  </si>
  <si>
    <t>Fermentation malolactique</t>
  </si>
</sst>
</file>

<file path=xl/styles.xml><?xml version="1.0" encoding="utf-8"?>
<styleSheet xmlns="http://schemas.openxmlformats.org/spreadsheetml/2006/main">
  <numFmts count="6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  <numFmt numFmtId="209" formatCode=".000"/>
    <numFmt numFmtId="210" formatCode="0.0000%"/>
    <numFmt numFmtId="211" formatCode="0.00000%"/>
    <numFmt numFmtId="212" formatCode="0.000000E+00"/>
    <numFmt numFmtId="213" formatCode="0.00000000E+00"/>
    <numFmt numFmtId="214" formatCode="0.00000E+00"/>
    <numFmt numFmtId="215" formatCode="0.0000000000000"/>
    <numFmt numFmtId="216" formatCode="0.00000000000000000"/>
    <numFmt numFmtId="217" formatCode="0.00000000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2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91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/>
    </xf>
    <xf numFmtId="199" fontId="0" fillId="0" borderId="0" xfId="0" applyNumberFormat="1" applyAlignment="1" applyProtection="1">
      <alignment/>
      <protection locked="0"/>
    </xf>
    <xf numFmtId="0" fontId="1" fillId="18" borderId="10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96" fontId="0" fillId="0" borderId="0" xfId="0" applyNumberFormat="1" applyBorder="1" applyAlignment="1">
      <alignment horizontal="right"/>
    </xf>
    <xf numFmtId="2" fontId="1" fillId="7" borderId="10" xfId="0" applyNumberFormat="1" applyFont="1" applyFill="1" applyBorder="1" applyAlignment="1">
      <alignment horizontal="center"/>
    </xf>
    <xf numFmtId="191" fontId="1" fillId="7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91" fontId="0" fillId="0" borderId="0" xfId="0" applyNumberFormat="1" applyBorder="1" applyAlignment="1">
      <alignment horizontal="center"/>
    </xf>
    <xf numFmtId="196" fontId="1" fillId="19" borderId="10" xfId="0" applyNumberFormat="1" applyFont="1" applyFill="1" applyBorder="1" applyAlignment="1">
      <alignment horizontal="center"/>
    </xf>
    <xf numFmtId="199" fontId="1" fillId="7" borderId="10" xfId="0" applyNumberFormat="1" applyFont="1" applyFill="1" applyBorder="1" applyAlignment="1">
      <alignment horizontal="center"/>
    </xf>
    <xf numFmtId="197" fontId="1" fillId="7" borderId="10" xfId="0" applyNumberFormat="1" applyFont="1" applyFill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99" fontId="0" fillId="0" borderId="13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99" fontId="1" fillId="19" borderId="14" xfId="0" applyNumberFormat="1" applyFont="1" applyFill="1" applyBorder="1" applyAlignment="1">
      <alignment horizontal="center"/>
    </xf>
    <xf numFmtId="2" fontId="1" fillId="19" borderId="15" xfId="0" applyNumberFormat="1" applyFont="1" applyFill="1" applyBorder="1" applyAlignment="1">
      <alignment horizontal="center"/>
    </xf>
    <xf numFmtId="200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1" fillId="19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99" fontId="1" fillId="19" borderId="15" xfId="0" applyNumberFormat="1" applyFont="1" applyFill="1" applyBorder="1" applyAlignment="1">
      <alignment horizontal="center"/>
    </xf>
    <xf numFmtId="196" fontId="0" fillId="0" borderId="0" xfId="0" applyNumberFormat="1" applyAlignment="1">
      <alignment horizontal="left"/>
    </xf>
    <xf numFmtId="196" fontId="0" fillId="0" borderId="16" xfId="0" applyNumberForma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196" fontId="0" fillId="0" borderId="18" xfId="0" applyNumberFormat="1" applyBorder="1" applyAlignment="1">
      <alignment horizontal="left"/>
    </xf>
    <xf numFmtId="196" fontId="0" fillId="0" borderId="0" xfId="0" applyNumberFormat="1" applyBorder="1" applyAlignment="1">
      <alignment horizontal="left"/>
    </xf>
    <xf numFmtId="196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top"/>
    </xf>
    <xf numFmtId="196" fontId="0" fillId="0" borderId="0" xfId="0" applyNumberFormat="1" applyAlignment="1">
      <alignment horizontal="center" vertical="center" wrapText="1"/>
    </xf>
    <xf numFmtId="196" fontId="0" fillId="0" borderId="0" xfId="0" applyNumberFormat="1" applyAlignment="1">
      <alignment horizontal="center"/>
    </xf>
    <xf numFmtId="196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04" fontId="0" fillId="0" borderId="0" xfId="0" applyNumberFormat="1" applyAlignment="1">
      <alignment horizontal="center"/>
    </xf>
    <xf numFmtId="210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9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4" fontId="0" fillId="0" borderId="0" xfId="0" applyNumberFormat="1" applyAlignment="1">
      <alignment horizontal="left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199" fontId="0" fillId="5" borderId="24" xfId="0" applyNumberFormat="1" applyFill="1" applyBorder="1" applyAlignment="1">
      <alignment horizontal="center"/>
    </xf>
    <xf numFmtId="200" fontId="0" fillId="5" borderId="24" xfId="0" applyNumberFormat="1" applyFill="1" applyBorder="1" applyAlignment="1">
      <alignment/>
    </xf>
    <xf numFmtId="0" fontId="0" fillId="5" borderId="24" xfId="0" applyFill="1" applyBorder="1" applyAlignment="1">
      <alignment horizontal="right"/>
    </xf>
    <xf numFmtId="0" fontId="4" fillId="5" borderId="24" xfId="0" applyFont="1" applyFill="1" applyBorder="1" applyAlignment="1">
      <alignment horizontal="left" vertical="center"/>
    </xf>
    <xf numFmtId="196" fontId="0" fillId="5" borderId="23" xfId="0" applyNumberFormat="1" applyFill="1" applyBorder="1" applyAlignment="1">
      <alignment horizontal="left"/>
    </xf>
    <xf numFmtId="196" fontId="0" fillId="5" borderId="24" xfId="0" applyNumberFormat="1" applyFill="1" applyBorder="1" applyAlignment="1">
      <alignment horizontal="left"/>
    </xf>
    <xf numFmtId="196" fontId="0" fillId="5" borderId="25" xfId="0" applyNumberFormat="1" applyFill="1" applyBorder="1" applyAlignment="1">
      <alignment horizontal="left"/>
    </xf>
    <xf numFmtId="196" fontId="0" fillId="5" borderId="19" xfId="0" applyNumberFormat="1" applyFill="1" applyBorder="1" applyAlignment="1">
      <alignment horizontal="left"/>
    </xf>
    <xf numFmtId="196" fontId="0" fillId="5" borderId="26" xfId="0" applyNumberFormat="1" applyFill="1" applyBorder="1" applyAlignment="1">
      <alignment horizontal="left"/>
    </xf>
    <xf numFmtId="196" fontId="1" fillId="0" borderId="0" xfId="0" applyNumberFormat="1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1" fillId="7" borderId="10" xfId="0" applyNumberFormat="1" applyFont="1" applyFill="1" applyBorder="1" applyAlignment="1">
      <alignment horizontal="center" vertical="center"/>
    </xf>
    <xf numFmtId="191" fontId="1" fillId="7" borderId="10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7" borderId="29" xfId="0" applyFont="1" applyFill="1" applyBorder="1" applyAlignment="1" applyProtection="1">
      <alignment horizontal="left" vertical="center"/>
      <protection locked="0"/>
    </xf>
    <xf numFmtId="1" fontId="1" fillId="18" borderId="10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7" borderId="29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locked="0"/>
    </xf>
    <xf numFmtId="0" fontId="0" fillId="19" borderId="29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18" borderId="29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28" xfId="0" applyFill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16" borderId="29" xfId="0" applyFill="1" applyBorder="1" applyAlignment="1" applyProtection="1">
      <alignment/>
      <protection locked="0"/>
    </xf>
    <xf numFmtId="0" fontId="0" fillId="16" borderId="27" xfId="0" applyFill="1" applyBorder="1" applyAlignment="1" applyProtection="1">
      <alignment/>
      <protection locked="0"/>
    </xf>
    <xf numFmtId="0" fontId="0" fillId="16" borderId="28" xfId="0" applyFill="1" applyBorder="1" applyAlignment="1" applyProtection="1">
      <alignment/>
      <protection locked="0"/>
    </xf>
    <xf numFmtId="9" fontId="6" fillId="7" borderId="13" xfId="0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196" fontId="4" fillId="19" borderId="37" xfId="0" applyNumberFormat="1" applyFont="1" applyFill="1" applyBorder="1" applyAlignment="1">
      <alignment horizontal="center" vertical="center"/>
    </xf>
    <xf numFmtId="199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/>
    </xf>
    <xf numFmtId="9" fontId="6" fillId="7" borderId="31" xfId="0" applyNumberFormat="1" applyFont="1" applyFill="1" applyBorder="1" applyAlignment="1">
      <alignment horizontal="center" vertical="center"/>
    </xf>
    <xf numFmtId="9" fontId="6" fillId="7" borderId="18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/>
    </xf>
    <xf numFmtId="0" fontId="4" fillId="19" borderId="38" xfId="0" applyFont="1" applyFill="1" applyBorder="1" applyAlignment="1">
      <alignment horizontal="center" vertical="center"/>
    </xf>
    <xf numFmtId="2" fontId="4" fillId="19" borderId="39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/>
      <protection locked="0"/>
    </xf>
    <xf numFmtId="0" fontId="5" fillId="5" borderId="41" xfId="0" applyFont="1" applyFill="1" applyBorder="1" applyAlignment="1" applyProtection="1">
      <alignment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0" fontId="0" fillId="5" borderId="43" xfId="0" applyFill="1" applyBorder="1" applyAlignment="1" applyProtection="1">
      <alignment vertical="center"/>
      <protection locked="0"/>
    </xf>
    <xf numFmtId="0" fontId="0" fillId="5" borderId="39" xfId="0" applyFill="1" applyBorder="1" applyAlignment="1" applyProtection="1">
      <alignment vertical="center"/>
      <protection locked="0"/>
    </xf>
    <xf numFmtId="0" fontId="2" fillId="5" borderId="42" xfId="0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96" fontId="1" fillId="18" borderId="10" xfId="0" applyNumberFormat="1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 vertical="center"/>
    </xf>
    <xf numFmtId="191" fontId="1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8" borderId="0" xfId="0" applyNumberFormat="1" applyFill="1" applyAlignment="1">
      <alignment horizontal="center"/>
    </xf>
    <xf numFmtId="197" fontId="0" fillId="18" borderId="0" xfId="0" applyNumberFormat="1" applyFill="1" applyAlignment="1">
      <alignment horizontal="center"/>
    </xf>
    <xf numFmtId="0" fontId="0" fillId="18" borderId="0" xfId="0" applyNumberFormat="1" applyFill="1" applyAlignment="1">
      <alignment horizontal="center" vertical="center"/>
    </xf>
    <xf numFmtId="0" fontId="5" fillId="18" borderId="29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8" xfId="0" applyFill="1" applyBorder="1" applyAlignment="1">
      <alignment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199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3" borderId="35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99" fontId="0" fillId="3" borderId="1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191" fontId="0" fillId="7" borderId="10" xfId="0" applyNumberFormat="1" applyFill="1" applyBorder="1" applyAlignment="1" applyProtection="1">
      <alignment horizontal="center"/>
      <protection/>
    </xf>
    <xf numFmtId="199" fontId="0" fillId="7" borderId="10" xfId="0" applyNumberFormat="1" applyFill="1" applyBorder="1" applyAlignment="1" applyProtection="1">
      <alignment horizontal="center"/>
      <protection/>
    </xf>
    <xf numFmtId="2" fontId="0" fillId="7" borderId="49" xfId="0" applyNumberFormat="1" applyFill="1" applyBorder="1" applyAlignment="1" applyProtection="1">
      <alignment horizontal="center"/>
      <protection/>
    </xf>
    <xf numFmtId="191" fontId="0" fillId="3" borderId="10" xfId="0" applyNumberFormat="1" applyFill="1" applyBorder="1" applyAlignment="1" applyProtection="1">
      <alignment horizontal="left"/>
      <protection locked="0"/>
    </xf>
    <xf numFmtId="199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91" fontId="0" fillId="0" borderId="0" xfId="0" applyNumberFormat="1" applyBorder="1" applyAlignment="1" applyProtection="1">
      <alignment horizontal="left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14" fontId="0" fillId="7" borderId="17" xfId="0" applyNumberFormat="1" applyFill="1" applyBorder="1" applyAlignment="1" applyProtection="1">
      <alignment horizontal="center"/>
      <protection locked="0"/>
    </xf>
    <xf numFmtId="14" fontId="0" fillId="7" borderId="51" xfId="0" applyNumberFormat="1" applyFill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99" fontId="0" fillId="0" borderId="17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0" fillId="5" borderId="21" xfId="0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30" xfId="0" applyBorder="1" applyAlignment="1">
      <alignment/>
    </xf>
    <xf numFmtId="0" fontId="0" fillId="3" borderId="44" xfId="0" applyNumberFormat="1" applyFont="1" applyFill="1" applyBorder="1" applyAlignment="1">
      <alignment horizontal="left"/>
    </xf>
    <xf numFmtId="0" fontId="1" fillId="3" borderId="44" xfId="0" applyNumberFormat="1" applyFont="1" applyFill="1" applyBorder="1" applyAlignment="1">
      <alignment horizontal="left"/>
    </xf>
    <xf numFmtId="0" fontId="0" fillId="7" borderId="44" xfId="0" applyNumberFormat="1" applyFont="1" applyFill="1" applyBorder="1" applyAlignment="1">
      <alignment horizontal="left"/>
    </xf>
    <xf numFmtId="0" fontId="0" fillId="7" borderId="45" xfId="0" applyNumberFormat="1" applyFont="1" applyFill="1" applyBorder="1" applyAlignment="1">
      <alignment horizontal="left"/>
    </xf>
    <xf numFmtId="199" fontId="4" fillId="19" borderId="14" xfId="0" applyNumberFormat="1" applyFont="1" applyFill="1" applyBorder="1" applyAlignment="1">
      <alignment horizontal="center" vertical="center"/>
    </xf>
    <xf numFmtId="199" fontId="4" fillId="19" borderId="5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" fontId="4" fillId="19" borderId="14" xfId="0" applyNumberFormat="1" applyFont="1" applyFill="1" applyBorder="1" applyAlignment="1">
      <alignment horizontal="center" vertical="center"/>
    </xf>
    <xf numFmtId="2" fontId="4" fillId="19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335"/>
          <c:h val="0.97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Suivi!$L$2</c:f>
              <c:strCache>
                <c:ptCount val="1"/>
                <c:pt idx="0">
                  <c:v>Cuvée No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Suivi!$H$5:$H$27</c:f>
              <c:numCache/>
            </c:numRef>
          </c:yVal>
          <c:smooth val="1"/>
        </c:ser>
        <c:ser>
          <c:idx val="4"/>
          <c:order val="1"/>
          <c:tx>
            <c:strRef>
              <c:f>Suivi!$J$4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Suivi!$L$5:$L$27</c:f>
              <c:numCache/>
            </c:numRef>
          </c:yVal>
          <c:smooth val="1"/>
        </c:ser>
        <c:axId val="34227033"/>
        <c:axId val="39607842"/>
      </c:scatterChart>
      <c:scatterChart>
        <c:scatterStyle val="lineMarker"/>
        <c:varyColors val="0"/>
        <c:ser>
          <c:idx val="12"/>
          <c:order val="2"/>
          <c:tx>
            <c:strRef>
              <c:f>Suivi!$C$4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Suivi!$C$5:$C$27</c:f>
              <c:numCache/>
            </c:numRef>
          </c:yVal>
          <c:smooth val="0"/>
        </c:ser>
        <c:axId val="20926259"/>
        <c:axId val="54118604"/>
      </c:scatterChart>
      <c:val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crossBetween val="midCat"/>
        <c:dispUnits/>
        <c:majorUnit val="91.35"/>
        <c:minorUnit val="30.45"/>
      </c:valAx>
      <c:valAx>
        <c:axId val="39607842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crossBetween val="midCat"/>
        <c:dispUnits/>
        <c:majorUnit val="0.01"/>
      </c:valAx>
      <c:valAx>
        <c:axId val="2092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604"/>
        <c:crosses val="max"/>
        <c:crossBetween val="midCat"/>
        <c:dispUnits/>
      </c:valAx>
      <c:valAx>
        <c:axId val="54118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26259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4"/>
          <c:y val="0.03475"/>
          <c:w val="0.28325"/>
          <c:h val="0.189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742950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038850" y="542925"/>
        <a:ext cx="5314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.421875" style="1" customWidth="1"/>
    <col min="2" max="16384" width="11.421875" style="1" customWidth="1"/>
  </cols>
  <sheetData>
    <row r="1" ht="8.25" customHeight="1" thickBot="1"/>
    <row r="2" spans="2:4" s="96" customFormat="1" ht="21" customHeight="1" thickBot="1">
      <c r="B2" s="157" t="s">
        <v>14</v>
      </c>
      <c r="C2" s="158"/>
      <c r="D2" s="159"/>
    </row>
    <row r="4" ht="12.75">
      <c r="B4" s="1" t="s">
        <v>15</v>
      </c>
    </row>
    <row r="5" ht="12.75">
      <c r="B5" s="1" t="s">
        <v>16</v>
      </c>
    </row>
    <row r="7" spans="2:12" s="96" customFormat="1" ht="21">
      <c r="B7" s="96" t="s">
        <v>17</v>
      </c>
      <c r="C7" s="97" t="s">
        <v>18</v>
      </c>
      <c r="D7" s="161">
        <v>2016</v>
      </c>
      <c r="F7" s="97" t="s">
        <v>19</v>
      </c>
      <c r="G7" s="162" t="s">
        <v>25</v>
      </c>
      <c r="H7" s="163"/>
      <c r="I7" s="163"/>
      <c r="J7" s="163"/>
      <c r="K7" s="163"/>
      <c r="L7" s="164"/>
    </row>
    <row r="8" ht="13.5" thickBot="1"/>
    <row r="9" spans="2:12" s="108" customFormat="1" ht="13.5">
      <c r="B9" s="154" t="s">
        <v>0</v>
      </c>
      <c r="C9" s="155" t="s">
        <v>20</v>
      </c>
      <c r="D9" s="155"/>
      <c r="E9" s="155"/>
      <c r="F9" s="155"/>
      <c r="G9" s="155"/>
      <c r="H9" s="155"/>
      <c r="I9" s="155"/>
      <c r="J9" s="155"/>
      <c r="K9" s="155"/>
      <c r="L9" s="156"/>
    </row>
    <row r="10" spans="2:12" ht="12.75">
      <c r="B10" s="133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2:12" ht="12.75">
      <c r="B11" s="133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2:12" ht="12.75">
      <c r="B12" s="133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2.75">
      <c r="B13" s="13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2:12" ht="12.75">
      <c r="B14" s="133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2:12" ht="12.75">
      <c r="B15" s="133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2:12" ht="12.75">
      <c r="B16" s="133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2:12" ht="12.75">
      <c r="B17" s="133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2:12" ht="12.75">
      <c r="B18" s="133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2:12" ht="12.75">
      <c r="B19" s="133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2:12" ht="12.75">
      <c r="B20" s="133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2:12" ht="12.75">
      <c r="B21" s="133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2:12" ht="12.75">
      <c r="B22" s="133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2:12" ht="12.75">
      <c r="B23" s="133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2:12" ht="12.75">
      <c r="B24" s="133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2:12" ht="12.75">
      <c r="B25" s="133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2:12" ht="12.75">
      <c r="B26" s="133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2:12" ht="12.75">
      <c r="B27" s="133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2:12" ht="12.75">
      <c r="B28" s="133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2:12" ht="13.5" thickBot="1">
      <c r="B29" s="135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1" spans="2:7" ht="13.5">
      <c r="B31" s="108" t="s">
        <v>21</v>
      </c>
      <c r="G31" s="1" t="s">
        <v>22</v>
      </c>
    </row>
    <row r="32" spans="5:12" ht="12.75">
      <c r="E32" s="127" t="s">
        <v>23</v>
      </c>
      <c r="F32" s="128"/>
      <c r="G32" s="128"/>
      <c r="H32" s="128"/>
      <c r="I32" s="128"/>
      <c r="J32" s="128"/>
      <c r="K32" s="128"/>
      <c r="L32" s="129"/>
    </row>
    <row r="33" spans="5:12" ht="12.75">
      <c r="E33" s="130" t="s">
        <v>24</v>
      </c>
      <c r="F33" s="131"/>
      <c r="G33" s="131"/>
      <c r="H33" s="131"/>
      <c r="I33" s="131"/>
      <c r="J33" s="131"/>
      <c r="K33" s="131"/>
      <c r="L33" s="132"/>
    </row>
    <row r="34" spans="5:12" ht="12.75">
      <c r="E34" s="139" t="s">
        <v>26</v>
      </c>
      <c r="F34" s="140"/>
      <c r="G34" s="140"/>
      <c r="H34" s="140"/>
      <c r="I34" s="140"/>
      <c r="J34" s="140"/>
      <c r="K34" s="140"/>
      <c r="L34" s="141"/>
    </row>
    <row r="35" spans="5:12" ht="12.75">
      <c r="E35" s="124" t="s">
        <v>27</v>
      </c>
      <c r="F35" s="125"/>
      <c r="G35" s="125"/>
      <c r="H35" s="125"/>
      <c r="I35" s="125"/>
      <c r="J35" s="125"/>
      <c r="K35" s="125"/>
      <c r="L35" s="126"/>
    </row>
    <row r="36" spans="5:12" ht="12.75">
      <c r="E36" s="121" t="s">
        <v>28</v>
      </c>
      <c r="F36" s="122"/>
      <c r="G36" s="122"/>
      <c r="H36" s="122"/>
      <c r="I36" s="122"/>
      <c r="J36" s="122"/>
      <c r="K36" s="122"/>
      <c r="L36" s="123"/>
    </row>
    <row r="39" ht="12.75">
      <c r="B39" t="s">
        <v>29</v>
      </c>
    </row>
    <row r="40" ht="12.75">
      <c r="B40" s="1" t="s">
        <v>30</v>
      </c>
    </row>
    <row r="41" ht="13.5">
      <c r="B41" s="108" t="s">
        <v>31</v>
      </c>
    </row>
    <row r="42" ht="12.75">
      <c r="B42" s="1" t="s">
        <v>32</v>
      </c>
    </row>
    <row r="43" ht="12.75">
      <c r="B43" s="1" t="s">
        <v>33</v>
      </c>
    </row>
    <row r="44" ht="12.75">
      <c r="B44"/>
    </row>
    <row r="45" ht="12.75">
      <c r="B45" s="217" t="s">
        <v>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5"/>
  <sheetViews>
    <sheetView workbookViewId="0" topLeftCell="A1">
      <selection activeCell="B6" sqref="B6"/>
    </sheetView>
  </sheetViews>
  <sheetFormatPr defaultColWidth="11.421875" defaultRowHeight="12.75"/>
  <cols>
    <col min="1" max="1" width="1.421875" style="0" customWidth="1"/>
    <col min="2" max="2" width="23.7109375" style="98" customWidth="1"/>
    <col min="3" max="6" width="11.421875" style="100" customWidth="1"/>
    <col min="7" max="14" width="11.421875" style="98" customWidth="1"/>
  </cols>
  <sheetData>
    <row r="1" s="1" customFormat="1" ht="8.25" customHeight="1" thickBot="1"/>
    <row r="2" spans="2:10" s="96" customFormat="1" ht="21" thickBot="1">
      <c r="B2" s="157" t="s">
        <v>35</v>
      </c>
      <c r="C2" s="159"/>
      <c r="D2" s="110">
        <f>Notes!D7</f>
        <v>2016</v>
      </c>
      <c r="E2" s="112" t="str">
        <f>Notes!G7</f>
        <v>Cuvée No 1</v>
      </c>
      <c r="F2" s="109"/>
      <c r="G2" s="109"/>
      <c r="H2" s="109"/>
      <c r="I2" s="109"/>
      <c r="J2" s="110"/>
    </row>
    <row r="3" ht="13.5" thickBot="1"/>
    <row r="4" spans="2:10" s="73" customFormat="1" ht="19.5" customHeight="1">
      <c r="B4" s="114" t="s">
        <v>36</v>
      </c>
      <c r="C4" s="115" t="s">
        <v>37</v>
      </c>
      <c r="D4" s="115" t="s">
        <v>38</v>
      </c>
      <c r="E4" s="115" t="s">
        <v>40</v>
      </c>
      <c r="F4" s="116" t="s">
        <v>4</v>
      </c>
      <c r="J4" s="117" t="s">
        <v>46</v>
      </c>
    </row>
    <row r="5" spans="2:10" s="73" customFormat="1" ht="13.5" customHeight="1" thickBot="1">
      <c r="B5" s="118"/>
      <c r="C5" s="120" t="s">
        <v>100</v>
      </c>
      <c r="D5" s="120" t="s">
        <v>39</v>
      </c>
      <c r="E5" s="120" t="s">
        <v>10</v>
      </c>
      <c r="F5" s="119"/>
      <c r="J5" s="117"/>
    </row>
    <row r="6" spans="2:14" s="74" customFormat="1" ht="13.5" customHeight="1">
      <c r="B6" s="136" t="s">
        <v>42</v>
      </c>
      <c r="C6" s="165">
        <v>6</v>
      </c>
      <c r="D6" s="165">
        <v>1.063</v>
      </c>
      <c r="E6" s="166">
        <v>8.5</v>
      </c>
      <c r="F6" s="149">
        <f aca="true" t="shared" si="0" ref="F6:F16">C6/C$17</f>
        <v>0.3</v>
      </c>
      <c r="G6" s="101"/>
      <c r="H6" s="101"/>
      <c r="I6" s="9" t="s">
        <v>47</v>
      </c>
      <c r="J6" s="145">
        <v>1.04</v>
      </c>
      <c r="K6" s="101"/>
      <c r="L6" s="101"/>
      <c r="M6" s="101"/>
      <c r="N6" s="101"/>
    </row>
    <row r="7" spans="2:14" s="74" customFormat="1" ht="13.5" customHeight="1">
      <c r="B7" s="137" t="s">
        <v>43</v>
      </c>
      <c r="C7" s="167">
        <v>5</v>
      </c>
      <c r="D7" s="167">
        <v>1.055</v>
      </c>
      <c r="E7" s="168">
        <v>9.5</v>
      </c>
      <c r="F7" s="142">
        <f t="shared" si="0"/>
        <v>0.25</v>
      </c>
      <c r="G7" s="101"/>
      <c r="H7" s="101"/>
      <c r="I7" s="9" t="s">
        <v>48</v>
      </c>
      <c r="J7" s="147">
        <v>12</v>
      </c>
      <c r="K7" s="101"/>
      <c r="L7" s="101"/>
      <c r="M7" s="101"/>
      <c r="N7" s="101"/>
    </row>
    <row r="8" spans="2:14" s="74" customFormat="1" ht="13.5" customHeight="1">
      <c r="B8" s="137" t="s">
        <v>44</v>
      </c>
      <c r="C8" s="167">
        <v>3</v>
      </c>
      <c r="D8" s="167">
        <v>1.049</v>
      </c>
      <c r="E8" s="168">
        <v>4</v>
      </c>
      <c r="F8" s="142">
        <f t="shared" si="0"/>
        <v>0.15</v>
      </c>
      <c r="G8" s="101"/>
      <c r="H8" s="101"/>
      <c r="I8" s="9" t="s">
        <v>49</v>
      </c>
      <c r="J8" s="7" t="str">
        <f>IF(J7&gt;35,"F","C")</f>
        <v>C</v>
      </c>
      <c r="K8" s="101"/>
      <c r="L8" s="101"/>
      <c r="M8" s="101"/>
      <c r="N8" s="101"/>
    </row>
    <row r="9" spans="2:14" s="74" customFormat="1" ht="13.5" customHeight="1">
      <c r="B9" s="137" t="s">
        <v>45</v>
      </c>
      <c r="C9" s="167">
        <v>6</v>
      </c>
      <c r="D9" s="167">
        <v>1.058</v>
      </c>
      <c r="E9" s="168">
        <v>3</v>
      </c>
      <c r="F9" s="142">
        <f t="shared" si="0"/>
        <v>0.3</v>
      </c>
      <c r="G9" s="101"/>
      <c r="H9" s="101"/>
      <c r="K9" s="101"/>
      <c r="L9" s="101"/>
      <c r="M9" s="101"/>
      <c r="N9" s="101"/>
    </row>
    <row r="10" spans="2:14" s="74" customFormat="1" ht="13.5" customHeight="1" thickBot="1">
      <c r="B10" s="137"/>
      <c r="C10" s="167"/>
      <c r="D10" s="167"/>
      <c r="E10" s="168"/>
      <c r="F10" s="142">
        <f t="shared" si="0"/>
        <v>0</v>
      </c>
      <c r="G10" s="101"/>
      <c r="H10" s="101"/>
      <c r="I10" s="9" t="s">
        <v>50</v>
      </c>
      <c r="J10" s="106">
        <f>IF($J$8="C",J7,(J7-32)/1.8)</f>
        <v>12</v>
      </c>
      <c r="K10" s="101"/>
      <c r="L10" s="101"/>
      <c r="M10" s="101"/>
      <c r="N10" s="101"/>
    </row>
    <row r="11" spans="2:14" s="74" customFormat="1" ht="13.5" customHeight="1">
      <c r="B11" s="137"/>
      <c r="C11" s="167"/>
      <c r="D11" s="167"/>
      <c r="E11" s="168"/>
      <c r="F11" s="142">
        <f t="shared" si="0"/>
        <v>0</v>
      </c>
      <c r="G11" s="101"/>
      <c r="H11" s="227" t="s">
        <v>51</v>
      </c>
      <c r="I11" s="228"/>
      <c r="J11" s="225">
        <f>(Assemblage!E$44+Assemblage!C$44*J6)*Assemblage!H$46/(Assemblage!C$48+Assemblage!D$48*J10+Assemblage!E$48*J10^2)</f>
        <v>1.0386821452269637</v>
      </c>
      <c r="K11" s="101"/>
      <c r="L11" s="101"/>
      <c r="M11" s="101"/>
      <c r="N11" s="101"/>
    </row>
    <row r="12" spans="2:14" s="74" customFormat="1" ht="13.5" customHeight="1" thickBot="1">
      <c r="B12" s="137"/>
      <c r="C12" s="167"/>
      <c r="D12" s="167"/>
      <c r="E12" s="168"/>
      <c r="F12" s="142">
        <f t="shared" si="0"/>
        <v>0</v>
      </c>
      <c r="G12" s="101"/>
      <c r="H12" s="227"/>
      <c r="I12" s="228"/>
      <c r="J12" s="226"/>
      <c r="K12" s="101"/>
      <c r="L12" s="101"/>
      <c r="M12" s="101"/>
      <c r="N12" s="101"/>
    </row>
    <row r="13" spans="2:14" s="74" customFormat="1" ht="13.5" customHeight="1">
      <c r="B13" s="137"/>
      <c r="C13" s="167"/>
      <c r="D13" s="167"/>
      <c r="E13" s="168"/>
      <c r="F13" s="142">
        <f t="shared" si="0"/>
        <v>0</v>
      </c>
      <c r="G13" s="111"/>
      <c r="K13" s="101"/>
      <c r="L13" s="101"/>
      <c r="M13" s="101"/>
      <c r="N13" s="101"/>
    </row>
    <row r="14" spans="2:14" s="74" customFormat="1" ht="13.5" customHeight="1">
      <c r="B14" s="137"/>
      <c r="C14" s="167"/>
      <c r="D14" s="167"/>
      <c r="E14" s="168"/>
      <c r="F14" s="142">
        <f t="shared" si="0"/>
        <v>0</v>
      </c>
      <c r="G14" s="111"/>
      <c r="K14" s="101"/>
      <c r="L14" s="101"/>
      <c r="M14" s="101"/>
      <c r="N14" s="101"/>
    </row>
    <row r="15" spans="2:14" s="74" customFormat="1" ht="13.5" customHeight="1">
      <c r="B15" s="137"/>
      <c r="C15" s="167"/>
      <c r="D15" s="167"/>
      <c r="E15" s="168"/>
      <c r="F15" s="142">
        <f t="shared" si="0"/>
        <v>0</v>
      </c>
      <c r="G15" s="101"/>
      <c r="H15" s="101"/>
      <c r="I15" s="101"/>
      <c r="J15" s="101"/>
      <c r="K15" s="101"/>
      <c r="L15" s="101"/>
      <c r="M15" s="101"/>
      <c r="N15" s="101"/>
    </row>
    <row r="16" spans="2:14" s="74" customFormat="1" ht="13.5" customHeight="1" thickBot="1">
      <c r="B16" s="138"/>
      <c r="C16" s="169"/>
      <c r="D16" s="169"/>
      <c r="E16" s="170"/>
      <c r="F16" s="150">
        <f t="shared" si="0"/>
        <v>0</v>
      </c>
      <c r="G16" s="101"/>
      <c r="H16" s="101"/>
      <c r="I16" s="101"/>
      <c r="J16" s="101"/>
      <c r="K16" s="101"/>
      <c r="L16" s="101"/>
      <c r="M16" s="101"/>
      <c r="N16" s="101"/>
    </row>
    <row r="17" spans="2:6" s="73" customFormat="1" ht="19.5" customHeight="1" thickBot="1">
      <c r="B17" s="151" t="s">
        <v>41</v>
      </c>
      <c r="C17" s="152">
        <f>SUM(C6:C16)</f>
        <v>20</v>
      </c>
      <c r="D17" s="144">
        <f>SUMPRODUCT(D6:D16,$C6:$C16)/$C17</f>
        <v>1.0574</v>
      </c>
      <c r="E17" s="153">
        <f>SUMPRODUCT(E6:E16,$C6:$C16)/$C17</f>
        <v>6.425</v>
      </c>
      <c r="F17" s="143"/>
    </row>
    <row r="19" ht="15">
      <c r="B19" s="102" t="s">
        <v>52</v>
      </c>
    </row>
    <row r="20" ht="12.75">
      <c r="C20" s="98" t="s">
        <v>53</v>
      </c>
    </row>
    <row r="21" spans="3:5" ht="12.75" customHeight="1">
      <c r="C21" s="100" t="str">
        <f>C5</f>
        <v>litres</v>
      </c>
      <c r="D21" s="100" t="str">
        <f>D5</f>
        <v>densité</v>
      </c>
      <c r="E21" s="100" t="str">
        <f>E5</f>
        <v>TA</v>
      </c>
    </row>
    <row r="22" spans="2:5" ht="12.75" customHeight="1">
      <c r="B22" s="99" t="s">
        <v>54</v>
      </c>
      <c r="C22" s="171">
        <f>C17</f>
        <v>20</v>
      </c>
      <c r="D22" s="172">
        <f>D17</f>
        <v>1.0574</v>
      </c>
      <c r="E22" s="173">
        <f>E17</f>
        <v>6.425</v>
      </c>
    </row>
    <row r="23" ht="12.75" customHeight="1"/>
    <row r="24" spans="2:11" ht="15">
      <c r="B24" s="73" t="s">
        <v>55</v>
      </c>
      <c r="D24" s="98"/>
      <c r="E24" s="99"/>
      <c r="F24" s="98"/>
      <c r="G24" s="99"/>
      <c r="H24" s="103"/>
      <c r="K24" s="99"/>
    </row>
    <row r="25" ht="12.75">
      <c r="C25" s="104" t="s">
        <v>56</v>
      </c>
    </row>
    <row r="26" ht="12.75">
      <c r="B26" s="104" t="s">
        <v>60</v>
      </c>
    </row>
    <row r="27" spans="8:10" ht="12.75">
      <c r="H27" s="99" t="s">
        <v>61</v>
      </c>
      <c r="I27" s="99" t="s">
        <v>57</v>
      </c>
      <c r="J27" s="106">
        <f>3.96-0.4343*LN($E$22)</f>
        <v>3.1521166032516885</v>
      </c>
    </row>
    <row r="28" spans="8:10" ht="12.75">
      <c r="H28" s="99" t="s">
        <v>62</v>
      </c>
      <c r="I28" s="99" t="s">
        <v>59</v>
      </c>
      <c r="J28" s="106">
        <f>4.64-0.4343*LN($E$22)</f>
        <v>3.8321166032516882</v>
      </c>
    </row>
    <row r="29" spans="9:10" ht="12.75">
      <c r="I29" s="99" t="s">
        <v>58</v>
      </c>
      <c r="J29" s="106">
        <f>4.3-0.4343*LN($E$22)</f>
        <v>3.4921166032516884</v>
      </c>
    </row>
    <row r="30" spans="3:9" ht="12.75">
      <c r="C30" s="100" t="s">
        <v>63</v>
      </c>
      <c r="I30" s="99"/>
    </row>
    <row r="31" spans="2:9" s="98" customFormat="1" ht="12.75" customHeight="1">
      <c r="B31" s="99" t="s">
        <v>64</v>
      </c>
      <c r="C31" s="174">
        <f>J29</f>
        <v>3.4921166032516884</v>
      </c>
      <c r="D31" s="99"/>
      <c r="E31" s="100"/>
      <c r="G31" s="99" t="s">
        <v>67</v>
      </c>
      <c r="H31" s="105">
        <f>IF(C31&gt;=3.9,"pH too high",IF(C31&gt;3,0.1577*EXP(1.855*C31),0))</f>
        <v>102.59769986532336</v>
      </c>
      <c r="I31" s="104" t="s">
        <v>71</v>
      </c>
    </row>
    <row r="32" spans="2:11" ht="12.75">
      <c r="B32" s="99" t="s">
        <v>65</v>
      </c>
      <c r="C32" s="113">
        <f>H31</f>
        <v>102.59769986532336</v>
      </c>
      <c r="D32" s="104"/>
      <c r="E32" s="99"/>
      <c r="F32" s="98"/>
      <c r="G32" s="99"/>
      <c r="H32" s="100"/>
      <c r="K32" s="99"/>
    </row>
    <row r="33" spans="2:11" ht="12.75">
      <c r="B33" s="99" t="s">
        <v>66</v>
      </c>
      <c r="C33" s="171">
        <f>$C$22</f>
        <v>20</v>
      </c>
      <c r="D33" s="104" t="s">
        <v>8</v>
      </c>
      <c r="E33" s="99"/>
      <c r="F33" s="98"/>
      <c r="G33" s="99" t="s">
        <v>70</v>
      </c>
      <c r="H33" s="106">
        <f>C32*$C$33*2/1000</f>
        <v>4.103907994612935</v>
      </c>
      <c r="I33" s="98" t="s">
        <v>69</v>
      </c>
      <c r="J33" s="107">
        <f>H33/4.75</f>
        <v>0.8639806304448283</v>
      </c>
      <c r="K33" s="104" t="s">
        <v>68</v>
      </c>
    </row>
    <row r="34" spans="2:11" ht="12.75">
      <c r="B34" s="99"/>
      <c r="C34" s="99"/>
      <c r="D34" s="104"/>
      <c r="E34" s="99"/>
      <c r="F34" s="98"/>
      <c r="G34" s="99"/>
      <c r="H34" s="100"/>
      <c r="K34" s="99"/>
    </row>
    <row r="35" spans="2:11" ht="15">
      <c r="B35" s="73" t="s">
        <v>7</v>
      </c>
      <c r="D35" s="98"/>
      <c r="E35" s="99"/>
      <c r="F35" s="98"/>
      <c r="G35" s="99"/>
      <c r="H35" s="103"/>
      <c r="K35" s="99"/>
    </row>
    <row r="36" ht="12.75">
      <c r="C36" s="104" t="s">
        <v>72</v>
      </c>
    </row>
    <row r="37" spans="2:11" ht="12.75">
      <c r="B37" s="99"/>
      <c r="C37" s="99" t="s">
        <v>73</v>
      </c>
      <c r="D37" s="104"/>
      <c r="E37" s="100" t="s">
        <v>76</v>
      </c>
      <c r="G37" s="99"/>
      <c r="H37" s="100" t="s">
        <v>77</v>
      </c>
      <c r="K37" s="99"/>
    </row>
    <row r="38" spans="2:11" ht="12.75">
      <c r="B38" s="99" t="s">
        <v>74</v>
      </c>
      <c r="C38" s="148">
        <v>70</v>
      </c>
      <c r="D38" s="104"/>
      <c r="E38" s="171">
        <f>$C$22</f>
        <v>20</v>
      </c>
      <c r="F38" s="104" t="s">
        <v>8</v>
      </c>
      <c r="G38" s="99"/>
      <c r="H38" s="106">
        <f>C38*$E$38/1000</f>
        <v>1.4</v>
      </c>
      <c r="I38" s="98" t="s">
        <v>78</v>
      </c>
      <c r="K38" s="99"/>
    </row>
    <row r="39" spans="2:9" ht="12.75">
      <c r="B39" s="99" t="s">
        <v>75</v>
      </c>
      <c r="C39" s="148">
        <v>30</v>
      </c>
      <c r="D39" s="104"/>
      <c r="E39" s="171">
        <f>$C$22</f>
        <v>20</v>
      </c>
      <c r="F39" s="104" t="s">
        <v>8</v>
      </c>
      <c r="G39" s="99"/>
      <c r="H39" s="105">
        <f>C39*$E$39</f>
        <v>600</v>
      </c>
      <c r="I39" s="98" t="s">
        <v>78</v>
      </c>
    </row>
    <row r="41" spans="2:12" ht="15">
      <c r="B41" s="4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 t="s">
        <v>80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 t="s">
        <v>81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2" t="s">
        <v>82</v>
      </c>
      <c r="C44" s="175">
        <v>1</v>
      </c>
      <c r="D44" s="2" t="s">
        <v>83</v>
      </c>
      <c r="E44" s="175">
        <v>0</v>
      </c>
      <c r="F44" s="1" t="s">
        <v>84</v>
      </c>
      <c r="H44" s="1"/>
      <c r="I44" s="1"/>
      <c r="J44" s="1"/>
      <c r="K44" s="1"/>
      <c r="L44" s="1"/>
    </row>
    <row r="45" spans="2:12" ht="12.75">
      <c r="B45" t="s">
        <v>88</v>
      </c>
      <c r="C45"/>
      <c r="D45"/>
      <c r="E45"/>
      <c r="H45" t="s">
        <v>86</v>
      </c>
      <c r="I45"/>
      <c r="J45"/>
      <c r="K45" s="1"/>
      <c r="L45" s="1"/>
    </row>
    <row r="46" spans="3:12" ht="12.75">
      <c r="C46"/>
      <c r="D46" s="9" t="s">
        <v>89</v>
      </c>
      <c r="E46" s="147" t="s">
        <v>85</v>
      </c>
      <c r="H46" s="8">
        <f>IF(E46="20C",998.2063,IF(E46="15C",999.1016,999.01528))</f>
        <v>998.2063</v>
      </c>
      <c r="I46" t="s">
        <v>1</v>
      </c>
      <c r="J46"/>
      <c r="K46" s="1"/>
      <c r="L46" s="1"/>
    </row>
    <row r="47" spans="2:12" ht="12.75">
      <c r="B47" s="1" t="s">
        <v>87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5">
        <v>999.9</v>
      </c>
      <c r="D48" s="5">
        <v>0.0364</v>
      </c>
      <c r="E48" s="5">
        <v>-0.006</v>
      </c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3"/>
      <c r="I49" s="1"/>
      <c r="J49" s="6"/>
      <c r="K49" s="1"/>
      <c r="L49" s="1"/>
    </row>
    <row r="52" spans="7:8" ht="12.75">
      <c r="G52" s="100"/>
      <c r="H52" s="100"/>
    </row>
    <row r="53" spans="7:8" ht="12.75" customHeight="1">
      <c r="G53" s="100"/>
      <c r="H53" s="100"/>
    </row>
    <row r="54" spans="7:8" ht="13.5" customHeight="1">
      <c r="G54" s="100"/>
      <c r="H54" s="100"/>
    </row>
    <row r="55" spans="7:8" ht="12.75">
      <c r="G55" s="100"/>
      <c r="H55" s="100"/>
    </row>
  </sheetData>
  <sheetProtection/>
  <mergeCells count="2">
    <mergeCell ref="J11:J12"/>
    <mergeCell ref="H11:I12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7"/>
  <sheetViews>
    <sheetView workbookViewId="0" topLeftCell="A1">
      <selection activeCell="F7" sqref="F7"/>
    </sheetView>
  </sheetViews>
  <sheetFormatPr defaultColWidth="11.421875" defaultRowHeight="12.75"/>
  <cols>
    <col min="1" max="1" width="1.421875" style="0" customWidth="1"/>
    <col min="3" max="3" width="11.421875" style="10" customWidth="1"/>
    <col min="6" max="6" width="11.421875" style="10" customWidth="1"/>
    <col min="8" max="8" width="11.421875" style="9" customWidth="1"/>
    <col min="9" max="9" width="11.421875" style="10" bestFit="1" customWidth="1"/>
    <col min="14" max="14" width="1.421875" style="0" customWidth="1"/>
    <col min="16" max="16" width="11.421875" style="10" customWidth="1"/>
  </cols>
  <sheetData>
    <row r="1" s="1" customFormat="1" ht="8.25" customHeight="1" thickBot="1"/>
    <row r="2" spans="2:13" s="96" customFormat="1" ht="21" thickBot="1">
      <c r="B2" s="160" t="s">
        <v>90</v>
      </c>
      <c r="C2" s="158"/>
      <c r="D2" s="158"/>
      <c r="E2" s="158"/>
      <c r="F2" s="159"/>
      <c r="G2" s="110">
        <f>Notes!D7</f>
        <v>2016</v>
      </c>
      <c r="H2" s="112" t="str">
        <f>Notes!G7</f>
        <v>Cuvée No 1</v>
      </c>
      <c r="I2" s="109"/>
      <c r="J2" s="109"/>
      <c r="K2" s="109"/>
      <c r="L2" s="109"/>
      <c r="M2" s="110"/>
    </row>
    <row r="3" spans="2:16" ht="12.75"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P3" s="16" t="s">
        <v>92</v>
      </c>
    </row>
    <row r="4" spans="1:14" ht="8.25" customHeight="1" thickBot="1">
      <c r="A4" s="80"/>
      <c r="B4" s="81"/>
      <c r="C4" s="82"/>
      <c r="D4" s="81"/>
      <c r="E4" s="81"/>
      <c r="F4" s="82"/>
      <c r="G4" s="81"/>
      <c r="H4" s="218"/>
      <c r="I4" s="82"/>
      <c r="J4" s="81"/>
      <c r="K4" s="81"/>
      <c r="L4" s="81"/>
      <c r="M4" s="81"/>
      <c r="N4" s="83"/>
    </row>
    <row r="5" spans="1:15" ht="12.75">
      <c r="A5" s="84"/>
      <c r="B5" s="220"/>
      <c r="C5" s="12"/>
      <c r="D5" s="12"/>
      <c r="E5" s="12"/>
      <c r="F5" s="221" t="s">
        <v>91</v>
      </c>
      <c r="G5" s="221"/>
      <c r="H5" s="222"/>
      <c r="I5" s="222"/>
      <c r="J5" s="11"/>
      <c r="K5" s="223" t="s">
        <v>228</v>
      </c>
      <c r="L5" s="223"/>
      <c r="M5" s="224"/>
      <c r="N5" s="85"/>
      <c r="O5" s="13"/>
    </row>
    <row r="6" spans="1:25" ht="13.5">
      <c r="A6" s="84"/>
      <c r="B6" s="19" t="s">
        <v>93</v>
      </c>
      <c r="C6" s="17"/>
      <c r="D6" s="13"/>
      <c r="E6" s="13"/>
      <c r="F6" s="16" t="s">
        <v>229</v>
      </c>
      <c r="G6" s="13"/>
      <c r="H6" s="18"/>
      <c r="I6" s="17"/>
      <c r="J6" s="13"/>
      <c r="K6" s="13"/>
      <c r="L6" s="24"/>
      <c r="M6" s="15"/>
      <c r="N6" s="85"/>
      <c r="O6" s="20"/>
      <c r="P6" s="180" t="s">
        <v>94</v>
      </c>
      <c r="Q6" s="181"/>
      <c r="R6" s="181"/>
      <c r="S6" s="181"/>
      <c r="T6" s="181"/>
      <c r="U6" s="181"/>
      <c r="V6" s="181"/>
      <c r="W6" s="181"/>
      <c r="X6" s="181"/>
      <c r="Y6" s="182"/>
    </row>
    <row r="7" spans="1:15" ht="12.75">
      <c r="A7" s="84"/>
      <c r="B7" s="14"/>
      <c r="C7" s="17"/>
      <c r="D7" s="13"/>
      <c r="E7" s="18" t="s">
        <v>95</v>
      </c>
      <c r="F7" s="145">
        <f>Assemblage!D22</f>
        <v>1.0574</v>
      </c>
      <c r="G7" s="13"/>
      <c r="H7" s="18"/>
      <c r="I7" s="21"/>
      <c r="J7" s="13"/>
      <c r="K7" s="21" t="s">
        <v>96</v>
      </c>
      <c r="L7" s="22">
        <f>$P$70*(F7-1)+$Q$70*(F7-1)^2+$R$70*(F7-1)^3</f>
        <v>14.131676853363974</v>
      </c>
      <c r="M7" s="15" t="s">
        <v>2</v>
      </c>
      <c r="N7" s="85"/>
      <c r="O7" s="17"/>
    </row>
    <row r="8" spans="1:15" ht="12.75">
      <c r="A8" s="84"/>
      <c r="B8" s="14"/>
      <c r="C8" s="17"/>
      <c r="D8" s="13"/>
      <c r="E8" s="18" t="s">
        <v>97</v>
      </c>
      <c r="F8" s="146">
        <f>Assemblage!E22</f>
        <v>6.425</v>
      </c>
      <c r="G8" s="13" t="s">
        <v>1</v>
      </c>
      <c r="H8" s="18"/>
      <c r="I8" s="21"/>
      <c r="J8" s="13"/>
      <c r="K8" s="18" t="s">
        <v>98</v>
      </c>
      <c r="L8" s="23">
        <f>F7*$P$67</f>
        <v>1055.50334162</v>
      </c>
      <c r="M8" s="15" t="s">
        <v>1</v>
      </c>
      <c r="N8" s="85"/>
      <c r="O8" s="17"/>
    </row>
    <row r="9" spans="1:15" ht="12.75">
      <c r="A9" s="84"/>
      <c r="B9" s="14"/>
      <c r="C9" s="17"/>
      <c r="D9" s="13"/>
      <c r="E9" s="18" t="s">
        <v>99</v>
      </c>
      <c r="F9" s="146">
        <f>Assemblage!C22</f>
        <v>20</v>
      </c>
      <c r="G9" s="13" t="s">
        <v>100</v>
      </c>
      <c r="H9" s="18"/>
      <c r="I9" s="17"/>
      <c r="J9" s="13"/>
      <c r="K9" s="18" t="s">
        <v>101</v>
      </c>
      <c r="L9" s="22">
        <f>F9*L8/1000</f>
        <v>21.1100668324</v>
      </c>
      <c r="M9" s="15" t="s">
        <v>3</v>
      </c>
      <c r="N9" s="85"/>
      <c r="O9" s="13"/>
    </row>
    <row r="10" spans="1:15" ht="13.5">
      <c r="A10" s="84"/>
      <c r="B10" s="19" t="s">
        <v>102</v>
      </c>
      <c r="C10" s="13"/>
      <c r="D10" s="13"/>
      <c r="E10" s="13"/>
      <c r="F10" s="17"/>
      <c r="G10" s="13"/>
      <c r="H10" s="18"/>
      <c r="I10" s="17"/>
      <c r="J10" s="13"/>
      <c r="K10" s="21"/>
      <c r="L10" s="24"/>
      <c r="M10" s="15"/>
      <c r="N10" s="85"/>
      <c r="O10" s="17"/>
    </row>
    <row r="11" spans="1:16" ht="12.75">
      <c r="A11" s="84"/>
      <c r="B11" s="25" t="s">
        <v>103</v>
      </c>
      <c r="C11" s="17"/>
      <c r="D11" s="13"/>
      <c r="E11" s="18"/>
      <c r="F11" s="17"/>
      <c r="G11" s="13"/>
      <c r="H11" s="18"/>
      <c r="I11" s="17"/>
      <c r="J11" s="13"/>
      <c r="K11" s="13"/>
      <c r="L11" s="13"/>
      <c r="M11" s="15"/>
      <c r="N11" s="85"/>
      <c r="O11" s="13"/>
      <c r="P11" s="26"/>
    </row>
    <row r="12" spans="1:16" ht="12.75">
      <c r="A12" s="84"/>
      <c r="B12" s="25" t="s">
        <v>104</v>
      </c>
      <c r="C12" s="17"/>
      <c r="D12" s="13"/>
      <c r="E12" s="18"/>
      <c r="F12" s="17"/>
      <c r="G12" s="13"/>
      <c r="H12" s="18"/>
      <c r="I12" s="17"/>
      <c r="J12" s="13"/>
      <c r="K12" s="13"/>
      <c r="L12" s="13"/>
      <c r="M12" s="15"/>
      <c r="N12" s="85"/>
      <c r="O12" s="13"/>
      <c r="P12" s="26" t="s">
        <v>105</v>
      </c>
    </row>
    <row r="13" spans="1:17" ht="12.75">
      <c r="A13" s="84"/>
      <c r="B13" s="14"/>
      <c r="C13" s="17"/>
      <c r="D13" s="13"/>
      <c r="E13" s="13"/>
      <c r="F13" s="17"/>
      <c r="G13" s="13"/>
      <c r="H13" s="18"/>
      <c r="I13" s="17"/>
      <c r="J13" s="13"/>
      <c r="K13" s="18" t="s">
        <v>106</v>
      </c>
      <c r="L13" s="23">
        <f>$P$13*(F7-1)</f>
        <v>122.26199999999977</v>
      </c>
      <c r="M13" s="15" t="s">
        <v>1</v>
      </c>
      <c r="N13" s="85"/>
      <c r="O13" s="13"/>
      <c r="P13" s="176">
        <v>2130</v>
      </c>
      <c r="Q13" t="s">
        <v>107</v>
      </c>
    </row>
    <row r="14" spans="1:15" ht="12.75">
      <c r="A14" s="84"/>
      <c r="B14" s="14"/>
      <c r="C14" s="17"/>
      <c r="D14" s="13"/>
      <c r="E14" s="13"/>
      <c r="F14" s="17"/>
      <c r="G14" s="13"/>
      <c r="H14" s="18"/>
      <c r="I14" s="17"/>
      <c r="J14" s="13"/>
      <c r="K14" s="18" t="s">
        <v>226</v>
      </c>
      <c r="L14" s="23">
        <f>L7*L8/100</f>
        <v>149.1603214141968</v>
      </c>
      <c r="M14" s="15" t="s">
        <v>1</v>
      </c>
      <c r="N14" s="85"/>
      <c r="O14" s="13"/>
    </row>
    <row r="15" spans="1:16" ht="12.75">
      <c r="A15" s="84"/>
      <c r="B15" s="25" t="s">
        <v>108</v>
      </c>
      <c r="C15" s="16"/>
      <c r="D15" s="13"/>
      <c r="E15" s="13"/>
      <c r="F15" s="17"/>
      <c r="G15" s="13"/>
      <c r="H15" s="18"/>
      <c r="I15" s="18"/>
      <c r="J15" s="13"/>
      <c r="K15" s="27"/>
      <c r="L15" s="13"/>
      <c r="M15" s="15"/>
      <c r="N15" s="85"/>
      <c r="O15" s="17"/>
      <c r="P15" s="26"/>
    </row>
    <row r="16" spans="1:16" ht="12.75">
      <c r="A16" s="84"/>
      <c r="B16" s="14"/>
      <c r="C16" s="17"/>
      <c r="D16" s="13"/>
      <c r="E16" s="18" t="s">
        <v>109</v>
      </c>
      <c r="F16" s="146">
        <v>0</v>
      </c>
      <c r="G16" s="16" t="s">
        <v>4</v>
      </c>
      <c r="H16" s="18"/>
      <c r="I16" s="18"/>
      <c r="J16" s="13"/>
      <c r="K16" s="18" t="s">
        <v>110</v>
      </c>
      <c r="L16" s="23">
        <f>MIN(L14,L13*(1+F16/100))</f>
        <v>122.26199999999977</v>
      </c>
      <c r="M16" s="15" t="s">
        <v>1</v>
      </c>
      <c r="N16" s="85"/>
      <c r="O16" s="17"/>
      <c r="P16" s="26" t="s">
        <v>111</v>
      </c>
    </row>
    <row r="17" spans="1:17" ht="12.75">
      <c r="A17" s="84"/>
      <c r="B17" s="14"/>
      <c r="C17" s="17"/>
      <c r="D17" s="13"/>
      <c r="E17" s="13"/>
      <c r="F17" s="17"/>
      <c r="G17" s="13"/>
      <c r="H17" s="27"/>
      <c r="I17" s="17"/>
      <c r="J17" s="13"/>
      <c r="K17" s="18" t="s">
        <v>112</v>
      </c>
      <c r="L17" s="30">
        <f>$P$17*L16/100</f>
        <v>0.07335719999999986</v>
      </c>
      <c r="M17" s="15"/>
      <c r="N17" s="85"/>
      <c r="O17" s="13"/>
      <c r="P17" s="176">
        <v>0.06</v>
      </c>
      <c r="Q17" t="s">
        <v>113</v>
      </c>
    </row>
    <row r="18" spans="1:15" ht="13.5">
      <c r="A18" s="84"/>
      <c r="B18" s="19" t="s">
        <v>114</v>
      </c>
      <c r="C18" s="17"/>
      <c r="D18" s="13"/>
      <c r="E18" s="13"/>
      <c r="F18" s="17"/>
      <c r="G18" s="13"/>
      <c r="H18" s="18"/>
      <c r="I18" s="17"/>
      <c r="J18" s="13"/>
      <c r="K18" s="13"/>
      <c r="L18" s="13"/>
      <c r="M18" s="15"/>
      <c r="N18" s="85"/>
      <c r="O18" s="13"/>
    </row>
    <row r="19" spans="1:15" ht="12.75">
      <c r="A19" s="84"/>
      <c r="B19" s="25" t="s">
        <v>115</v>
      </c>
      <c r="C19" s="17"/>
      <c r="D19" s="13"/>
      <c r="E19" s="18"/>
      <c r="F19" s="17"/>
      <c r="G19" s="13"/>
      <c r="H19" s="18"/>
      <c r="I19" s="17"/>
      <c r="J19" s="13"/>
      <c r="K19" s="13"/>
      <c r="L19" s="13"/>
      <c r="M19" s="15"/>
      <c r="N19" s="85"/>
      <c r="O19" s="13"/>
    </row>
    <row r="20" spans="1:16" ht="12.75">
      <c r="A20" s="84"/>
      <c r="B20" s="25" t="s">
        <v>230</v>
      </c>
      <c r="C20" s="17"/>
      <c r="D20" s="13"/>
      <c r="E20" s="18"/>
      <c r="F20" s="17"/>
      <c r="G20" s="13"/>
      <c r="H20" s="18"/>
      <c r="I20" s="17"/>
      <c r="J20" s="13"/>
      <c r="K20" s="13"/>
      <c r="L20" s="13"/>
      <c r="M20" s="15"/>
      <c r="N20" s="85"/>
      <c r="O20" s="13"/>
      <c r="P20" s="26" t="s">
        <v>244</v>
      </c>
    </row>
    <row r="21" spans="1:20" ht="12.75">
      <c r="A21" s="84"/>
      <c r="B21" s="14"/>
      <c r="C21" s="17"/>
      <c r="D21" s="13"/>
      <c r="E21" s="18" t="s">
        <v>116</v>
      </c>
      <c r="F21" s="146">
        <v>7</v>
      </c>
      <c r="G21" s="13" t="s">
        <v>1</v>
      </c>
      <c r="H21" s="18"/>
      <c r="I21" s="17"/>
      <c r="J21" s="13"/>
      <c r="K21" s="18" t="s">
        <v>117</v>
      </c>
      <c r="L21" s="28">
        <f>F21*F9/1000</f>
        <v>0.14</v>
      </c>
      <c r="M21" s="15" t="s">
        <v>118</v>
      </c>
      <c r="N21" s="85"/>
      <c r="O21" s="13"/>
      <c r="P21" s="229" t="s">
        <v>245</v>
      </c>
      <c r="Q21" s="229"/>
      <c r="S21" s="229" t="s">
        <v>246</v>
      </c>
      <c r="T21" s="229"/>
    </row>
    <row r="22" spans="1:20" ht="12.75">
      <c r="A22" s="84"/>
      <c r="B22" s="14"/>
      <c r="C22" s="17"/>
      <c r="D22" s="13"/>
      <c r="E22" s="18" t="s">
        <v>119</v>
      </c>
      <c r="F22" s="146">
        <v>5</v>
      </c>
      <c r="G22" s="13" t="s">
        <v>120</v>
      </c>
      <c r="H22" s="18"/>
      <c r="I22" s="17"/>
      <c r="J22" s="13"/>
      <c r="K22" s="18" t="s">
        <v>117</v>
      </c>
      <c r="L22" s="28">
        <f>F22*F9/1000</f>
        <v>0.1</v>
      </c>
      <c r="M22" s="15" t="s">
        <v>121</v>
      </c>
      <c r="N22" s="85"/>
      <c r="O22" s="24"/>
      <c r="P22" s="229" t="s">
        <v>247</v>
      </c>
      <c r="Q22" s="229"/>
      <c r="S22" s="229" t="s">
        <v>248</v>
      </c>
      <c r="T22" s="229"/>
    </row>
    <row r="23" spans="1:20" ht="12.75">
      <c r="A23" s="84"/>
      <c r="B23" s="25"/>
      <c r="C23" s="17"/>
      <c r="D23" s="13"/>
      <c r="E23" s="18"/>
      <c r="F23" s="17"/>
      <c r="G23" s="13"/>
      <c r="H23" s="18" t="s">
        <v>122</v>
      </c>
      <c r="I23" s="29">
        <f>G84</f>
        <v>1.0595386740103507</v>
      </c>
      <c r="J23" s="13"/>
      <c r="K23" s="18" t="s">
        <v>123</v>
      </c>
      <c r="L23" s="22">
        <f>(I23-F7)*1000</f>
        <v>2.1386740103508384</v>
      </c>
      <c r="M23" s="15" t="s">
        <v>124</v>
      </c>
      <c r="N23" s="85"/>
      <c r="O23" s="13"/>
      <c r="P23" s="10" t="s">
        <v>249</v>
      </c>
      <c r="Q23" s="10" t="s">
        <v>250</v>
      </c>
      <c r="S23" s="10" t="s">
        <v>249</v>
      </c>
      <c r="T23" s="10" t="s">
        <v>250</v>
      </c>
    </row>
    <row r="24" spans="1:20" ht="12.75">
      <c r="A24" s="84"/>
      <c r="B24" s="25"/>
      <c r="C24" s="17"/>
      <c r="D24" s="13"/>
      <c r="E24" s="13"/>
      <c r="F24" s="17"/>
      <c r="G24" s="13"/>
      <c r="H24" s="21" t="s">
        <v>125</v>
      </c>
      <c r="I24" s="22">
        <f>G73</f>
        <v>14.628678646593897</v>
      </c>
      <c r="J24" s="13"/>
      <c r="K24" s="18" t="s">
        <v>112</v>
      </c>
      <c r="L24" s="30">
        <f>$P$17*G63/G81/100</f>
        <v>0.07684111305866445</v>
      </c>
      <c r="M24" s="15"/>
      <c r="N24" s="85"/>
      <c r="O24" s="13"/>
      <c r="Q24" s="10" t="s">
        <v>251</v>
      </c>
      <c r="S24" s="10"/>
      <c r="T24" s="10" t="s">
        <v>252</v>
      </c>
    </row>
    <row r="25" spans="1:20" ht="13.5">
      <c r="A25" s="84"/>
      <c r="B25" s="19" t="s">
        <v>126</v>
      </c>
      <c r="C25" s="17"/>
      <c r="D25" s="13"/>
      <c r="E25" s="18"/>
      <c r="F25" s="31"/>
      <c r="G25" s="13"/>
      <c r="H25" s="18"/>
      <c r="I25" s="18"/>
      <c r="J25" s="32"/>
      <c r="K25" s="13"/>
      <c r="L25" s="18"/>
      <c r="M25" s="33"/>
      <c r="N25" s="86"/>
      <c r="O25" s="13"/>
      <c r="P25" s="176" t="s">
        <v>253</v>
      </c>
      <c r="Q25" s="10"/>
      <c r="S25" s="176" t="s">
        <v>254</v>
      </c>
      <c r="T25" s="10"/>
    </row>
    <row r="26" spans="1:20" ht="13.5" thickBot="1">
      <c r="A26" s="84"/>
      <c r="B26" s="25" t="s">
        <v>127</v>
      </c>
      <c r="C26" s="16"/>
      <c r="D26" s="13"/>
      <c r="E26" s="18"/>
      <c r="F26" s="17"/>
      <c r="G26" s="13"/>
      <c r="H26" s="18"/>
      <c r="I26" s="34"/>
      <c r="J26" s="13"/>
      <c r="K26" s="13"/>
      <c r="L26" s="13"/>
      <c r="M26" s="15"/>
      <c r="N26" s="85"/>
      <c r="O26" s="13"/>
      <c r="Q26" s="176">
        <v>0.8</v>
      </c>
      <c r="S26" s="10"/>
      <c r="T26" s="176">
        <v>1</v>
      </c>
    </row>
    <row r="27" spans="1:20" ht="13.5" thickBot="1">
      <c r="A27" s="84"/>
      <c r="B27" s="25"/>
      <c r="C27" s="17"/>
      <c r="D27" s="13"/>
      <c r="E27" s="18" t="s">
        <v>128</v>
      </c>
      <c r="F27" s="146">
        <v>25</v>
      </c>
      <c r="G27" s="13" t="s">
        <v>1</v>
      </c>
      <c r="H27" s="18"/>
      <c r="I27" s="17"/>
      <c r="J27" s="13"/>
      <c r="K27" s="35" t="s">
        <v>95</v>
      </c>
      <c r="L27" s="36">
        <f>I84</f>
        <v>1.0112920252210926</v>
      </c>
      <c r="M27" s="15"/>
      <c r="N27" s="85"/>
      <c r="O27" s="13"/>
      <c r="P27" s="176" t="s">
        <v>255</v>
      </c>
      <c r="Q27" s="10"/>
      <c r="S27" s="176" t="s">
        <v>256</v>
      </c>
      <c r="T27" s="10"/>
    </row>
    <row r="28" spans="1:20" ht="13.5" thickBot="1">
      <c r="A28" s="84"/>
      <c r="B28" s="25"/>
      <c r="C28" s="16"/>
      <c r="D28" s="13"/>
      <c r="E28" s="18"/>
      <c r="F28" s="17"/>
      <c r="G28" s="13"/>
      <c r="H28" s="18"/>
      <c r="I28" s="17"/>
      <c r="J28" s="13"/>
      <c r="K28" s="35" t="s">
        <v>129</v>
      </c>
      <c r="L28" s="37">
        <f>I85</f>
        <v>6.139545142449565</v>
      </c>
      <c r="M28" s="15" t="s">
        <v>130</v>
      </c>
      <c r="N28" s="85"/>
      <c r="O28" s="13"/>
      <c r="Q28" s="176">
        <v>1.3</v>
      </c>
      <c r="S28" s="10"/>
      <c r="T28" s="176">
        <v>9</v>
      </c>
    </row>
    <row r="29" spans="1:20" ht="13.5">
      <c r="A29" s="84"/>
      <c r="B29" s="19" t="s">
        <v>131</v>
      </c>
      <c r="C29" s="17"/>
      <c r="D29" s="13"/>
      <c r="E29" s="13"/>
      <c r="F29" s="17"/>
      <c r="G29" s="13"/>
      <c r="H29" s="18"/>
      <c r="I29" s="17"/>
      <c r="J29" s="13"/>
      <c r="K29" s="13"/>
      <c r="L29" s="13"/>
      <c r="M29" s="38"/>
      <c r="N29" s="87"/>
      <c r="O29" s="13"/>
      <c r="P29" s="176" t="s">
        <v>257</v>
      </c>
      <c r="Q29" s="10"/>
      <c r="S29" s="176" t="s">
        <v>258</v>
      </c>
      <c r="T29" s="10"/>
    </row>
    <row r="30" spans="1:21" ht="12.75" customHeight="1">
      <c r="A30" s="84"/>
      <c r="B30" s="39" t="s">
        <v>132</v>
      </c>
      <c r="C30" s="40"/>
      <c r="D30" s="41"/>
      <c r="E30" s="41"/>
      <c r="F30" s="42"/>
      <c r="G30" s="13"/>
      <c r="H30" s="18"/>
      <c r="I30" s="18"/>
      <c r="J30" s="31"/>
      <c r="K30" s="13"/>
      <c r="L30" s="13"/>
      <c r="M30" s="15"/>
      <c r="N30" s="85"/>
      <c r="O30" s="13"/>
      <c r="Q30" s="176">
        <v>3</v>
      </c>
      <c r="S30" s="10"/>
      <c r="T30" s="176">
        <v>28</v>
      </c>
      <c r="U30" t="s">
        <v>259</v>
      </c>
    </row>
    <row r="31" spans="1:20" ht="12.75" customHeight="1">
      <c r="A31" s="84"/>
      <c r="B31" s="39"/>
      <c r="C31" s="40"/>
      <c r="D31" s="41"/>
      <c r="E31" s="18" t="s">
        <v>133</v>
      </c>
      <c r="F31" s="146">
        <v>19</v>
      </c>
      <c r="G31" s="13" t="s">
        <v>100</v>
      </c>
      <c r="H31" s="18"/>
      <c r="I31" s="18"/>
      <c r="J31" s="31"/>
      <c r="K31" s="13"/>
      <c r="L31" s="13"/>
      <c r="M31" s="15"/>
      <c r="N31" s="85"/>
      <c r="O31" s="13"/>
      <c r="P31" s="176" t="s">
        <v>260</v>
      </c>
      <c r="Q31" s="10"/>
      <c r="S31" s="176" t="s">
        <v>261</v>
      </c>
      <c r="T31" s="10"/>
    </row>
    <row r="32" spans="1:21" ht="12.75">
      <c r="A32" s="84"/>
      <c r="B32" s="14"/>
      <c r="C32" s="17"/>
      <c r="D32" s="13"/>
      <c r="E32" s="18" t="s">
        <v>116</v>
      </c>
      <c r="F32" s="146">
        <v>0</v>
      </c>
      <c r="G32" s="13" t="s">
        <v>1</v>
      </c>
      <c r="H32" s="18"/>
      <c r="I32" s="17"/>
      <c r="J32" s="13"/>
      <c r="K32" s="18" t="s">
        <v>117</v>
      </c>
      <c r="L32" s="28">
        <f>F32*F31/1000</f>
        <v>0</v>
      </c>
      <c r="M32" s="15" t="s">
        <v>118</v>
      </c>
      <c r="N32" s="85"/>
      <c r="O32" s="13"/>
      <c r="Q32" s="176">
        <v>5.5</v>
      </c>
      <c r="S32" s="10"/>
      <c r="T32" s="176">
        <v>42</v>
      </c>
      <c r="U32" t="s">
        <v>262</v>
      </c>
    </row>
    <row r="33" spans="1:20" ht="12.75">
      <c r="A33" s="84"/>
      <c r="B33" s="14"/>
      <c r="C33" s="17"/>
      <c r="D33" s="13"/>
      <c r="E33" s="18" t="s">
        <v>119</v>
      </c>
      <c r="F33" s="146">
        <v>0</v>
      </c>
      <c r="G33" s="13" t="s">
        <v>120</v>
      </c>
      <c r="H33" s="18"/>
      <c r="I33" s="17"/>
      <c r="J33" s="13"/>
      <c r="K33" s="18" t="s">
        <v>117</v>
      </c>
      <c r="L33" s="28">
        <f>F33*F31/1000</f>
        <v>0</v>
      </c>
      <c r="M33" s="15" t="s">
        <v>121</v>
      </c>
      <c r="N33" s="85"/>
      <c r="O33" s="24"/>
      <c r="P33" s="176" t="s">
        <v>263</v>
      </c>
      <c r="Q33" s="10"/>
      <c r="S33" s="176" t="s">
        <v>264</v>
      </c>
      <c r="T33" s="10"/>
    </row>
    <row r="34" spans="1:15" ht="12.75">
      <c r="A34" s="84"/>
      <c r="B34" s="25"/>
      <c r="C34" s="17"/>
      <c r="D34" s="13"/>
      <c r="E34" s="18"/>
      <c r="F34" s="17"/>
      <c r="G34" s="13"/>
      <c r="H34" s="18" t="s">
        <v>122</v>
      </c>
      <c r="I34" s="29">
        <f>K84</f>
        <v>1.0112920252210926</v>
      </c>
      <c r="J34" s="13"/>
      <c r="K34" s="18" t="s">
        <v>123</v>
      </c>
      <c r="L34" s="22">
        <f>(I34-L27)*1000</f>
        <v>0</v>
      </c>
      <c r="M34" s="15" t="s">
        <v>124</v>
      </c>
      <c r="N34" s="85"/>
      <c r="O34" s="13"/>
    </row>
    <row r="35" spans="1:15" ht="14.25" thickBot="1">
      <c r="A35" s="84"/>
      <c r="B35" s="19" t="s">
        <v>134</v>
      </c>
      <c r="C35" s="17"/>
      <c r="D35" s="13"/>
      <c r="E35" s="18"/>
      <c r="F35" s="13"/>
      <c r="G35" s="13"/>
      <c r="H35" s="18"/>
      <c r="I35" s="18"/>
      <c r="J35" s="43"/>
      <c r="K35" s="13"/>
      <c r="L35" s="13"/>
      <c r="M35" s="44"/>
      <c r="N35" s="88"/>
      <c r="O35" s="13"/>
    </row>
    <row r="36" spans="1:16" ht="13.5" thickBot="1">
      <c r="A36" s="84"/>
      <c r="B36" s="14"/>
      <c r="C36" s="17"/>
      <c r="D36" s="13"/>
      <c r="E36" s="18" t="s">
        <v>128</v>
      </c>
      <c r="F36" s="146">
        <v>15</v>
      </c>
      <c r="G36" s="13" t="s">
        <v>1</v>
      </c>
      <c r="H36" s="18"/>
      <c r="I36" s="17"/>
      <c r="J36" s="231" t="s">
        <v>135</v>
      </c>
      <c r="K36" s="231"/>
      <c r="L36" s="225">
        <f>M84</f>
        <v>1.006658724302648</v>
      </c>
      <c r="M36" s="15"/>
      <c r="N36" s="85"/>
      <c r="O36" s="13"/>
      <c r="P36" s="26" t="s">
        <v>136</v>
      </c>
    </row>
    <row r="37" spans="1:17" ht="13.5" thickBot="1">
      <c r="A37" s="84"/>
      <c r="B37" s="14"/>
      <c r="C37" s="17"/>
      <c r="D37" s="35" t="s">
        <v>137</v>
      </c>
      <c r="E37" s="45" t="str">
        <f>IF(I38&lt;Q26,P25,IF(I38&lt;Q28,P27,IF(I38&lt;Q30,P29,IF(I38&lt;Q32,P31,P33))))</f>
        <v>Pétillant</v>
      </c>
      <c r="F37" s="17"/>
      <c r="G37" s="13"/>
      <c r="H37" s="18" t="s">
        <v>138</v>
      </c>
      <c r="I37" s="22">
        <f>M60/M64</f>
        <v>5.904079883986396</v>
      </c>
      <c r="J37" s="231"/>
      <c r="K37" s="231"/>
      <c r="L37" s="226"/>
      <c r="M37" s="15"/>
      <c r="N37" s="85"/>
      <c r="O37" s="13"/>
      <c r="P37" s="176">
        <v>1.2</v>
      </c>
      <c r="Q37" t="s">
        <v>139</v>
      </c>
    </row>
    <row r="38" spans="1:15" ht="13.5" customHeight="1" thickBot="1">
      <c r="A38" s="84"/>
      <c r="B38" s="14"/>
      <c r="C38" s="17"/>
      <c r="D38" s="35" t="s">
        <v>265</v>
      </c>
      <c r="E38" s="46" t="str">
        <f>IF(F36&lt;T26,S25,IF(F36&lt;T28,S27,IF(F36&lt;T30,S29,IF(F36&lt;T32,S31,S33))))</f>
        <v>Brut</v>
      </c>
      <c r="F38" s="17"/>
      <c r="G38" s="13"/>
      <c r="H38" s="18" t="s">
        <v>140</v>
      </c>
      <c r="I38" s="22">
        <f>I37/P39</f>
        <v>2.9863833505242265</v>
      </c>
      <c r="J38" s="231" t="s">
        <v>141</v>
      </c>
      <c r="K38" s="231"/>
      <c r="L38" s="232">
        <f>M85</f>
        <v>6.735995740300867</v>
      </c>
      <c r="M38" s="230" t="s">
        <v>130</v>
      </c>
      <c r="N38" s="89"/>
      <c r="O38" s="13"/>
    </row>
    <row r="39" spans="1:17" ht="13.5" customHeight="1" thickBot="1">
      <c r="A39" s="84"/>
      <c r="B39" s="14"/>
      <c r="C39" s="17"/>
      <c r="D39" s="13"/>
      <c r="E39" s="13"/>
      <c r="F39" s="17"/>
      <c r="G39" s="13"/>
      <c r="H39" s="18" t="s">
        <v>142</v>
      </c>
      <c r="I39" s="22">
        <f>1000*(I34-L36)</f>
        <v>4.633300918444716</v>
      </c>
      <c r="J39" s="231"/>
      <c r="K39" s="231"/>
      <c r="L39" s="233"/>
      <c r="M39" s="230"/>
      <c r="N39" s="89"/>
      <c r="O39" s="13"/>
      <c r="P39" s="10">
        <v>1.977</v>
      </c>
      <c r="Q39" t="s">
        <v>143</v>
      </c>
    </row>
    <row r="40" spans="1:15" ht="13.5">
      <c r="A40" s="84"/>
      <c r="B40" s="19" t="s">
        <v>144</v>
      </c>
      <c r="C40" s="17"/>
      <c r="D40" s="13"/>
      <c r="E40" s="13"/>
      <c r="F40" s="17"/>
      <c r="G40" s="13"/>
      <c r="H40" s="18"/>
      <c r="I40" s="17"/>
      <c r="J40" s="13"/>
      <c r="K40" s="18"/>
      <c r="L40" s="13"/>
      <c r="M40" s="15"/>
      <c r="N40" s="85"/>
      <c r="O40" s="13"/>
    </row>
    <row r="41" spans="1:15" ht="12.75">
      <c r="A41" s="84"/>
      <c r="B41" s="25" t="s">
        <v>145</v>
      </c>
      <c r="C41" s="17"/>
      <c r="D41" s="13"/>
      <c r="E41" s="18"/>
      <c r="F41" s="17"/>
      <c r="G41" s="16" t="s">
        <v>146</v>
      </c>
      <c r="H41" s="18"/>
      <c r="I41" s="17"/>
      <c r="J41" s="13"/>
      <c r="K41" s="13"/>
      <c r="L41" s="13"/>
      <c r="M41" s="15"/>
      <c r="N41" s="85"/>
      <c r="O41" s="47"/>
    </row>
    <row r="42" spans="1:16" ht="13.5" thickBot="1">
      <c r="A42" s="84"/>
      <c r="B42" s="25"/>
      <c r="C42" s="17"/>
      <c r="D42" s="18" t="s">
        <v>147</v>
      </c>
      <c r="E42" s="23">
        <f>M58/M64</f>
        <v>41.660664152257404</v>
      </c>
      <c r="F42" s="13" t="s">
        <v>1</v>
      </c>
      <c r="G42" s="13"/>
      <c r="H42" s="18" t="s">
        <v>148</v>
      </c>
      <c r="I42" s="29">
        <f>1+E42/P45</f>
        <v>1.015974181039976</v>
      </c>
      <c r="J42" s="13"/>
      <c r="K42" s="16" t="s">
        <v>149</v>
      </c>
      <c r="L42" s="13"/>
      <c r="M42" s="15"/>
      <c r="N42" s="85"/>
      <c r="O42" s="47"/>
      <c r="P42" t="s">
        <v>150</v>
      </c>
    </row>
    <row r="43" spans="1:17" ht="13.5" thickBot="1">
      <c r="A43" s="84"/>
      <c r="B43" s="25"/>
      <c r="C43" s="17"/>
      <c r="D43" s="18" t="s">
        <v>151</v>
      </c>
      <c r="E43" s="23">
        <f>E42-F36</f>
        <v>26.660664152257404</v>
      </c>
      <c r="F43" s="13" t="s">
        <v>1</v>
      </c>
      <c r="G43" s="13"/>
      <c r="H43" s="18" t="s">
        <v>152</v>
      </c>
      <c r="I43" s="29">
        <f>I42-L36</f>
        <v>0.009315456737328143</v>
      </c>
      <c r="J43" s="13"/>
      <c r="K43" s="35" t="s">
        <v>141</v>
      </c>
      <c r="L43" s="37">
        <f>$Q$43*I43+$P$43*I43^2</f>
        <v>6.659585295059271</v>
      </c>
      <c r="M43" s="15" t="s">
        <v>130</v>
      </c>
      <c r="N43" s="85"/>
      <c r="O43" s="47"/>
      <c r="P43" s="10">
        <v>8040</v>
      </c>
      <c r="Q43" s="10">
        <v>640</v>
      </c>
    </row>
    <row r="44" spans="1:15" ht="13.5">
      <c r="A44" s="84"/>
      <c r="B44" s="19" t="s">
        <v>153</v>
      </c>
      <c r="C44" s="17"/>
      <c r="D44" s="13"/>
      <c r="E44" s="13"/>
      <c r="F44" s="17"/>
      <c r="G44" s="13"/>
      <c r="H44" s="18"/>
      <c r="I44" s="17"/>
      <c r="J44" s="13"/>
      <c r="K44" s="13"/>
      <c r="L44" s="13"/>
      <c r="M44" s="15"/>
      <c r="N44" s="85"/>
      <c r="O44" s="13"/>
    </row>
    <row r="45" spans="1:17" ht="12.75">
      <c r="A45" s="84"/>
      <c r="B45" s="25" t="s">
        <v>154</v>
      </c>
      <c r="C45" s="17"/>
      <c r="D45" s="13"/>
      <c r="E45" s="18"/>
      <c r="F45" s="17"/>
      <c r="G45" s="13"/>
      <c r="H45" s="18"/>
      <c r="I45" s="17"/>
      <c r="J45" s="13"/>
      <c r="K45" s="13"/>
      <c r="L45" s="13"/>
      <c r="M45" s="15"/>
      <c r="N45" s="85"/>
      <c r="O45" s="47"/>
      <c r="P45" s="10">
        <v>2608</v>
      </c>
      <c r="Q45" t="s">
        <v>227</v>
      </c>
    </row>
    <row r="46" spans="1:17" ht="12.75">
      <c r="A46" s="84"/>
      <c r="B46" s="14"/>
      <c r="C46" s="16" t="s">
        <v>155</v>
      </c>
      <c r="D46" s="13"/>
      <c r="E46" s="18"/>
      <c r="F46" s="17"/>
      <c r="G46" s="13"/>
      <c r="H46" s="18"/>
      <c r="I46" s="17"/>
      <c r="J46" s="13"/>
      <c r="K46" s="13"/>
      <c r="L46" s="13"/>
      <c r="M46" s="15"/>
      <c r="N46" s="85"/>
      <c r="O46" s="13"/>
      <c r="Q46" t="s">
        <v>156</v>
      </c>
    </row>
    <row r="47" spans="1:15" ht="12.75">
      <c r="A47" s="84"/>
      <c r="B47" s="14"/>
      <c r="C47" s="17"/>
      <c r="D47" s="13"/>
      <c r="E47" s="18" t="s">
        <v>157</v>
      </c>
      <c r="F47" s="146">
        <v>40</v>
      </c>
      <c r="G47" s="13" t="s">
        <v>4</v>
      </c>
      <c r="H47" s="18"/>
      <c r="I47" s="17"/>
      <c r="J47" s="13"/>
      <c r="K47" s="18" t="s">
        <v>158</v>
      </c>
      <c r="L47" s="23">
        <f>F8*I53/M81</f>
        <v>6.367953404545613</v>
      </c>
      <c r="M47" s="15" t="s">
        <v>1</v>
      </c>
      <c r="N47" s="85"/>
      <c r="O47" s="13"/>
    </row>
    <row r="48" spans="1:15" ht="13.5" thickBot="1">
      <c r="A48" s="84"/>
      <c r="B48" s="14"/>
      <c r="C48" s="17"/>
      <c r="D48" s="13"/>
      <c r="E48" s="13"/>
      <c r="F48" s="17"/>
      <c r="G48" s="13"/>
      <c r="H48" s="18"/>
      <c r="I48" s="17"/>
      <c r="J48" s="13"/>
      <c r="K48" s="18" t="s">
        <v>159</v>
      </c>
      <c r="L48" s="23">
        <f>(1-F47/100)*L47+L47*F47/200</f>
        <v>5.094362723636491</v>
      </c>
      <c r="M48" s="15" t="s">
        <v>1</v>
      </c>
      <c r="N48" s="85"/>
      <c r="O48" s="13"/>
    </row>
    <row r="49" spans="1:15" ht="13.5" thickBot="1">
      <c r="A49" s="84"/>
      <c r="B49" s="14"/>
      <c r="C49" s="17"/>
      <c r="D49" s="18" t="s">
        <v>160</v>
      </c>
      <c r="E49" s="23">
        <f>L38/(I34-I49+I23-L27)</f>
        <v>125.89919866421862</v>
      </c>
      <c r="F49" s="17"/>
      <c r="G49" s="13"/>
      <c r="H49" s="18" t="s">
        <v>161</v>
      </c>
      <c r="I49" s="48">
        <f>L91/P67</f>
        <v>1.0060355873206077</v>
      </c>
      <c r="J49" s="13"/>
      <c r="K49" s="18" t="s">
        <v>123</v>
      </c>
      <c r="L49" s="22">
        <f>1000*(I49-L36)</f>
        <v>-0.6231369820401955</v>
      </c>
      <c r="M49" s="15" t="s">
        <v>124</v>
      </c>
      <c r="N49" s="85"/>
      <c r="O49" s="13"/>
    </row>
    <row r="50" spans="1:15" s="49" customFormat="1" ht="12.75" customHeight="1" thickBot="1">
      <c r="A50" s="9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91"/>
      <c r="O50" s="53"/>
    </row>
    <row r="51" spans="1:15" s="49" customFormat="1" ht="8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53"/>
    </row>
    <row r="52" spans="4:14" s="49" customFormat="1" ht="12.75"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2:10" s="49" customFormat="1" ht="13.5">
      <c r="B53" s="56" t="s">
        <v>162</v>
      </c>
      <c r="H53" s="54" t="s">
        <v>163</v>
      </c>
      <c r="I53" s="177">
        <v>1</v>
      </c>
      <c r="J53" s="49" t="s">
        <v>266</v>
      </c>
    </row>
    <row r="54" s="49" customFormat="1" ht="12.75">
      <c r="B54" s="49" t="s">
        <v>164</v>
      </c>
    </row>
    <row r="55" s="49" customFormat="1" ht="12.75">
      <c r="B55" s="49" t="s">
        <v>165</v>
      </c>
    </row>
    <row r="56" spans="4:20" s="57" customFormat="1" ht="26.25">
      <c r="D56" s="95" t="s">
        <v>166</v>
      </c>
      <c r="E56" s="57" t="s">
        <v>167</v>
      </c>
      <c r="F56" s="57" t="s">
        <v>168</v>
      </c>
      <c r="G56" s="57" t="s">
        <v>169</v>
      </c>
      <c r="H56" s="57" t="s">
        <v>170</v>
      </c>
      <c r="I56" s="57" t="s">
        <v>171</v>
      </c>
      <c r="J56" s="57" t="s">
        <v>172</v>
      </c>
      <c r="K56" s="57" t="s">
        <v>173</v>
      </c>
      <c r="L56" s="57" t="s">
        <v>170</v>
      </c>
      <c r="M56" s="57" t="s">
        <v>174</v>
      </c>
      <c r="Q56" s="219"/>
      <c r="R56" s="219"/>
      <c r="S56" s="219"/>
      <c r="T56" s="219"/>
    </row>
    <row r="57" spans="4:20" s="49" customFormat="1" ht="12.75">
      <c r="D57" s="54" t="s">
        <v>175</v>
      </c>
      <c r="E57" s="55">
        <f>I53*L8-E58</f>
        <v>906.3430202058031</v>
      </c>
      <c r="F57" s="55">
        <f>E64*F22*P67/1000</f>
        <v>4.9910315</v>
      </c>
      <c r="G57" s="55">
        <f>E57+F57</f>
        <v>911.3340517058031</v>
      </c>
      <c r="H57" s="55">
        <v>0</v>
      </c>
      <c r="I57" s="55">
        <f>G57+H57</f>
        <v>911.3340517058031</v>
      </c>
      <c r="J57" s="55">
        <f>F33*P67/1000*I64</f>
        <v>0</v>
      </c>
      <c r="K57" s="55">
        <f>I57+J57</f>
        <v>911.3340517058031</v>
      </c>
      <c r="L57" s="55">
        <v>0</v>
      </c>
      <c r="M57" s="55">
        <f>K57+L57</f>
        <v>911.3340517058031</v>
      </c>
      <c r="N57" s="55"/>
      <c r="R57" s="58"/>
      <c r="S57" s="58"/>
      <c r="T57"/>
    </row>
    <row r="58" spans="4:20" s="49" customFormat="1" ht="12.75">
      <c r="D58" s="54" t="s">
        <v>176</v>
      </c>
      <c r="E58" s="55">
        <f>L14*I53</f>
        <v>149.1603214141968</v>
      </c>
      <c r="F58" s="55">
        <f>E64*F21</f>
        <v>7</v>
      </c>
      <c r="G58" s="55">
        <f>E58+F58</f>
        <v>156.1603214141968</v>
      </c>
      <c r="H58" s="55">
        <f>H63</f>
        <v>-104.02902350056102</v>
      </c>
      <c r="I58" s="55">
        <f>G58+H58</f>
        <v>52.13129791363578</v>
      </c>
      <c r="J58" s="55">
        <f>J63</f>
        <v>0</v>
      </c>
      <c r="K58" s="55">
        <f>I58+J58</f>
        <v>52.13129791363578</v>
      </c>
      <c r="L58" s="55">
        <f>L63</f>
        <v>-10.097421380056856</v>
      </c>
      <c r="M58" s="55">
        <f>K58+L58</f>
        <v>42.03387653357892</v>
      </c>
      <c r="N58" s="55"/>
      <c r="P58" s="49" t="s">
        <v>177</v>
      </c>
      <c r="S58" s="58"/>
      <c r="T58"/>
    </row>
    <row r="59" spans="4:20" s="49" customFormat="1" ht="12.75">
      <c r="D59" s="54" t="s">
        <v>178</v>
      </c>
      <c r="E59" s="55">
        <v>0</v>
      </c>
      <c r="F59" s="55">
        <v>0</v>
      </c>
      <c r="G59" s="55">
        <f>E59+F59</f>
        <v>0</v>
      </c>
      <c r="H59" s="55">
        <f>-H63*$P$59</f>
        <v>48.89364104526368</v>
      </c>
      <c r="I59" s="55">
        <f>G59+H59</f>
        <v>48.89364104526368</v>
      </c>
      <c r="J59" s="55">
        <v>0</v>
      </c>
      <c r="K59" s="55">
        <f>I59+J59</f>
        <v>48.89364104526368</v>
      </c>
      <c r="L59" s="55">
        <f>-L63*$P$59</f>
        <v>4.745788048626722</v>
      </c>
      <c r="M59" s="55">
        <f>K59+L59</f>
        <v>53.6394290938904</v>
      </c>
      <c r="N59" s="55"/>
      <c r="P59" s="178">
        <v>0.47</v>
      </c>
      <c r="Q59" t="s">
        <v>179</v>
      </c>
      <c r="S59" s="58"/>
      <c r="T59"/>
    </row>
    <row r="60" spans="4:20" s="49" customFormat="1" ht="12.75">
      <c r="D60" s="54" t="s">
        <v>180</v>
      </c>
      <c r="E60" s="55">
        <v>0</v>
      </c>
      <c r="F60" s="55">
        <v>0</v>
      </c>
      <c r="G60" s="55">
        <f>E60+F60</f>
        <v>0</v>
      </c>
      <c r="H60" s="55">
        <f>-H63*$P$60</f>
        <v>48.89364104526368</v>
      </c>
      <c r="I60" s="55">
        <f>P37*G64</f>
        <v>1.2111828719730602</v>
      </c>
      <c r="J60" s="55">
        <v>0</v>
      </c>
      <c r="K60" s="55">
        <f>I60+J60</f>
        <v>1.2111828719730602</v>
      </c>
      <c r="L60" s="55">
        <f>-L63*$P$60</f>
        <v>4.745788048626722</v>
      </c>
      <c r="M60" s="55">
        <f>K60+L60</f>
        <v>5.956970920599782</v>
      </c>
      <c r="N60" s="55"/>
      <c r="P60" s="178">
        <v>0.47</v>
      </c>
      <c r="Q60" t="s">
        <v>181</v>
      </c>
      <c r="S60" s="58"/>
      <c r="T60"/>
    </row>
    <row r="61" spans="4:20" s="49" customFormat="1" ht="12.75">
      <c r="D61" s="59" t="s">
        <v>182</v>
      </c>
      <c r="E61" s="60">
        <v>0</v>
      </c>
      <c r="F61" s="60">
        <v>0</v>
      </c>
      <c r="G61" s="60">
        <f>E61+F61</f>
        <v>0</v>
      </c>
      <c r="H61" s="60">
        <f>-H63*$P$61</f>
        <v>6.241741410033667</v>
      </c>
      <c r="I61" s="60">
        <f>G61+H61</f>
        <v>6.241741410033667</v>
      </c>
      <c r="J61" s="60">
        <v>0</v>
      </c>
      <c r="K61" s="60">
        <f>I61+J61</f>
        <v>6.241741410033667</v>
      </c>
      <c r="L61" s="60">
        <f>-L63*$P$61</f>
        <v>0.6058452828034119</v>
      </c>
      <c r="M61" s="60">
        <f>K61+L61</f>
        <v>6.847586692837079</v>
      </c>
      <c r="N61" s="24"/>
      <c r="P61" s="61">
        <f>1-(P59+P60)</f>
        <v>0.06000000000000005</v>
      </c>
      <c r="Q61" t="s">
        <v>183</v>
      </c>
      <c r="S61" s="58"/>
      <c r="T61"/>
    </row>
    <row r="62" spans="4:20" s="49" customFormat="1" ht="12.75">
      <c r="D62" s="54" t="s">
        <v>184</v>
      </c>
      <c r="E62" s="55">
        <f aca="true" t="shared" si="0" ref="E62:M62">SUM(E57:E61)</f>
        <v>1055.50334162</v>
      </c>
      <c r="F62" s="55">
        <f t="shared" si="0"/>
        <v>11.9910315</v>
      </c>
      <c r="G62" s="55">
        <f t="shared" si="0"/>
        <v>1067.4943731199999</v>
      </c>
      <c r="H62" s="55">
        <f t="shared" si="0"/>
        <v>0</v>
      </c>
      <c r="I62" s="55">
        <f t="shared" si="0"/>
        <v>1019.8119149467093</v>
      </c>
      <c r="J62" s="55">
        <f t="shared" si="0"/>
        <v>0</v>
      </c>
      <c r="K62" s="55">
        <f t="shared" si="0"/>
        <v>1019.8119149467093</v>
      </c>
      <c r="L62" s="55">
        <f t="shared" si="0"/>
        <v>0</v>
      </c>
      <c r="M62" s="55">
        <f t="shared" si="0"/>
        <v>1019.8119149467093</v>
      </c>
      <c r="N62" s="55"/>
      <c r="P62" s="10"/>
      <c r="Q62"/>
      <c r="S62" s="58"/>
      <c r="T62"/>
    </row>
    <row r="63" spans="4:14" s="49" customFormat="1" ht="12.75">
      <c r="D63" s="54" t="s">
        <v>185</v>
      </c>
      <c r="E63" s="55">
        <f>L16*I53</f>
        <v>122.26199999999977</v>
      </c>
      <c r="F63" s="55">
        <f>F58</f>
        <v>7</v>
      </c>
      <c r="G63" s="55">
        <f>E63+F63</f>
        <v>129.26199999999977</v>
      </c>
      <c r="H63" s="55">
        <f>I63-G63</f>
        <v>-104.02902350056102</v>
      </c>
      <c r="I63" s="55">
        <f>G64*F27</f>
        <v>25.232976499438752</v>
      </c>
      <c r="J63" s="55">
        <f>F32*I64</f>
        <v>0</v>
      </c>
      <c r="K63" s="55">
        <f>I63+J63</f>
        <v>25.232976499438752</v>
      </c>
      <c r="L63" s="55">
        <f>M63-K63</f>
        <v>-10.097421380056856</v>
      </c>
      <c r="M63" s="55">
        <f>K64*F36</f>
        <v>15.135555119381896</v>
      </c>
      <c r="N63" s="55"/>
    </row>
    <row r="64" spans="4:14" s="49" customFormat="1" ht="12.75">
      <c r="D64" s="54" t="s">
        <v>186</v>
      </c>
      <c r="E64" s="62">
        <f>I53</f>
        <v>1</v>
      </c>
      <c r="F64" s="62">
        <f>G64-E64</f>
        <v>0.009319059977550115</v>
      </c>
      <c r="G64" s="62">
        <f>G81</f>
        <v>1.0093190599775501</v>
      </c>
      <c r="H64" s="62">
        <f>I64-G64</f>
        <v>-0.00028205201875697306</v>
      </c>
      <c r="I64" s="62">
        <f>I81</f>
        <v>1.0090370079587931</v>
      </c>
      <c r="J64" s="62">
        <f>K64-I64</f>
        <v>0</v>
      </c>
      <c r="K64" s="62">
        <f>K81</f>
        <v>1.0090370079587931</v>
      </c>
      <c r="L64" s="62">
        <f>M64-K64</f>
        <v>-7.862025864668887E-05</v>
      </c>
      <c r="M64" s="62">
        <f>M81</f>
        <v>1.0089583877001465</v>
      </c>
      <c r="N64" s="62"/>
    </row>
    <row r="65" spans="4:14" s="49" customFormat="1" ht="12.75">
      <c r="D65" s="54"/>
      <c r="E65" s="26"/>
      <c r="F65" s="55"/>
      <c r="G65" s="55"/>
      <c r="H65" s="58"/>
      <c r="I65" s="55"/>
      <c r="J65" s="55"/>
      <c r="K65" s="55"/>
      <c r="L65" s="55"/>
      <c r="M65" s="55"/>
      <c r="N65" s="55"/>
    </row>
    <row r="66" spans="2:22" ht="12.75">
      <c r="B66" s="63" t="s">
        <v>187</v>
      </c>
      <c r="C66" s="26"/>
      <c r="D66" s="26"/>
      <c r="E66" s="26" t="s">
        <v>188</v>
      </c>
      <c r="G66" s="57"/>
      <c r="H66" s="57"/>
      <c r="I66" s="64"/>
      <c r="J66" s="64"/>
      <c r="K66" s="64"/>
      <c r="L66" s="64"/>
      <c r="M66" s="64"/>
      <c r="N66" s="64"/>
      <c r="O66" s="64"/>
      <c r="P66"/>
      <c r="V66" s="10"/>
    </row>
    <row r="67" spans="2:22" ht="12.75">
      <c r="B67" s="26" t="s">
        <v>189</v>
      </c>
      <c r="C67"/>
      <c r="E67" s="65"/>
      <c r="F67"/>
      <c r="G67" s="10"/>
      <c r="H67" s="10"/>
      <c r="I67" s="9"/>
      <c r="J67" s="9"/>
      <c r="K67" s="9"/>
      <c r="L67" s="9"/>
      <c r="M67" s="9"/>
      <c r="N67" s="9"/>
      <c r="O67" s="9"/>
      <c r="P67" s="10">
        <v>998.2063</v>
      </c>
      <c r="Q67" t="s">
        <v>190</v>
      </c>
      <c r="S67" s="66"/>
      <c r="U67" s="26"/>
      <c r="V67" s="10"/>
    </row>
    <row r="68" spans="2:24" ht="12.75">
      <c r="B68" s="10"/>
      <c r="C68"/>
      <c r="D68" s="54" t="s">
        <v>191</v>
      </c>
      <c r="E68" s="55"/>
      <c r="F68" s="55"/>
      <c r="G68" s="55">
        <f>G57+G61</f>
        <v>911.3340517058031</v>
      </c>
      <c r="H68" s="55"/>
      <c r="I68" s="55">
        <f>I57+I61</f>
        <v>917.5757931158367</v>
      </c>
      <c r="J68" s="55"/>
      <c r="K68" s="55">
        <f>K57+K61</f>
        <v>917.5757931158367</v>
      </c>
      <c r="L68" s="55"/>
      <c r="M68" s="55">
        <f>M57+M61</f>
        <v>918.1816383986402</v>
      </c>
      <c r="N68" s="55"/>
      <c r="O68" s="9"/>
      <c r="P68"/>
      <c r="R68" s="65"/>
      <c r="S68" s="65"/>
      <c r="U68" s="9"/>
      <c r="V68" s="55"/>
      <c r="W68" s="65"/>
      <c r="X68" s="65"/>
    </row>
    <row r="69" spans="2:22" ht="12.75">
      <c r="B69" s="10"/>
      <c r="C69"/>
      <c r="D69" s="54" t="s">
        <v>176</v>
      </c>
      <c r="E69" s="55"/>
      <c r="F69" s="55"/>
      <c r="G69" s="55">
        <f>G58</f>
        <v>156.1603214141968</v>
      </c>
      <c r="H69" s="55"/>
      <c r="I69" s="55">
        <f>I58</f>
        <v>52.13129791363578</v>
      </c>
      <c r="J69" s="55"/>
      <c r="K69" s="55">
        <f>K58</f>
        <v>52.13129791363578</v>
      </c>
      <c r="L69" s="55"/>
      <c r="M69" s="55">
        <f>M58</f>
        <v>42.03387653357892</v>
      </c>
      <c r="N69" s="55"/>
      <c r="O69" s="9"/>
      <c r="P69" s="26" t="s">
        <v>192</v>
      </c>
      <c r="U69" s="9"/>
      <c r="V69" s="55"/>
    </row>
    <row r="70" spans="2:22" ht="12.75">
      <c r="B70" s="10"/>
      <c r="C70"/>
      <c r="D70" s="54" t="s">
        <v>178</v>
      </c>
      <c r="E70" s="55"/>
      <c r="F70" s="55"/>
      <c r="G70" s="55">
        <v>0</v>
      </c>
      <c r="H70" s="55"/>
      <c r="I70" s="55">
        <f>I59</f>
        <v>48.89364104526368</v>
      </c>
      <c r="J70" s="55"/>
      <c r="K70" s="55">
        <f>K59</f>
        <v>48.89364104526368</v>
      </c>
      <c r="L70" s="55"/>
      <c r="M70" s="55">
        <f>M59</f>
        <v>53.6394290938904</v>
      </c>
      <c r="N70" s="55"/>
      <c r="O70" s="9"/>
      <c r="P70" s="10">
        <v>258.58</v>
      </c>
      <c r="Q70" s="10">
        <v>-225.7</v>
      </c>
      <c r="R70" s="10">
        <v>173.5</v>
      </c>
      <c r="U70" s="9"/>
      <c r="V70" s="55"/>
    </row>
    <row r="71" spans="2:22" ht="12.75">
      <c r="B71" s="26" t="s">
        <v>193</v>
      </c>
      <c r="C71"/>
      <c r="D71" s="26"/>
      <c r="E71" s="10"/>
      <c r="G71" s="10"/>
      <c r="H71" s="10"/>
      <c r="J71" s="10"/>
      <c r="K71" s="10"/>
      <c r="L71" s="10"/>
      <c r="M71" s="10"/>
      <c r="N71" s="10"/>
      <c r="O71" s="9"/>
      <c r="P71"/>
      <c r="Q71" s="10"/>
      <c r="U71" s="26"/>
      <c r="V71" s="10"/>
    </row>
    <row r="72" spans="2:24" ht="12.75">
      <c r="B72" s="10"/>
      <c r="C72"/>
      <c r="D72" s="9" t="s">
        <v>194</v>
      </c>
      <c r="E72" s="55"/>
      <c r="F72" s="55"/>
      <c r="G72" s="55">
        <f>G68+G69</f>
        <v>1067.4943731199999</v>
      </c>
      <c r="H72" s="55"/>
      <c r="I72" s="55">
        <f>I68+I69</f>
        <v>969.7070910294725</v>
      </c>
      <c r="J72" s="55"/>
      <c r="K72" s="55">
        <f>K68+K69</f>
        <v>969.7070910294725</v>
      </c>
      <c r="L72" s="55"/>
      <c r="M72" s="55">
        <f>M68+M69</f>
        <v>960.2155149322191</v>
      </c>
      <c r="N72" s="55"/>
      <c r="O72" s="9"/>
      <c r="P72" s="26" t="s">
        <v>195</v>
      </c>
      <c r="S72" s="55"/>
      <c r="U72" s="9"/>
      <c r="V72" s="55"/>
      <c r="W72" s="55"/>
      <c r="X72" s="55"/>
    </row>
    <row r="73" spans="2:24" ht="12.75">
      <c r="B73" s="10"/>
      <c r="C73"/>
      <c r="D73" s="9" t="s">
        <v>196</v>
      </c>
      <c r="E73" s="55"/>
      <c r="F73" s="55"/>
      <c r="G73" s="55">
        <f>100*G69/G72</f>
        <v>14.628678646593897</v>
      </c>
      <c r="H73" s="55"/>
      <c r="I73" s="55">
        <f>100*I69/I72</f>
        <v>5.3759839848434545</v>
      </c>
      <c r="J73" s="55"/>
      <c r="K73" s="55">
        <f>100*K69/K72</f>
        <v>5.3759839848434545</v>
      </c>
      <c r="L73" s="55"/>
      <c r="M73" s="55">
        <f>100*M69/M72</f>
        <v>4.37754606959731</v>
      </c>
      <c r="N73" s="55"/>
      <c r="O73" s="9"/>
      <c r="P73" s="10">
        <v>3.8687</v>
      </c>
      <c r="Q73" s="10">
        <v>0.013048</v>
      </c>
      <c r="R73" s="10">
        <v>4.87E-05</v>
      </c>
      <c r="S73" s="10"/>
      <c r="U73" s="9"/>
      <c r="V73" s="10"/>
      <c r="W73" s="10"/>
      <c r="X73" s="10"/>
    </row>
    <row r="74" spans="2:24" ht="12.75">
      <c r="B74" s="10"/>
      <c r="C74"/>
      <c r="D74" s="9" t="s">
        <v>95</v>
      </c>
      <c r="E74" s="67"/>
      <c r="F74" s="67"/>
      <c r="G74" s="67">
        <f>1+($P$73*G73+$Q$73*G73^2+$R$73*G73^3)/1000</f>
        <v>1.0595386740103507</v>
      </c>
      <c r="H74" s="67"/>
      <c r="I74" s="67">
        <f>1+($P$73*I73+$Q$73*I73^2+$R$73*I73^3)/1000</f>
        <v>1.021182738785724</v>
      </c>
      <c r="J74" s="67"/>
      <c r="K74" s="67">
        <f>1+($P$73*K73+$Q$73*K73^2+$R$73*K73^3)/1000</f>
        <v>1.021182738785724</v>
      </c>
      <c r="L74" s="67"/>
      <c r="M74" s="67">
        <f>1+($P$73*M73+$Q$73*M73^2+$R$73*M73^3)/1000</f>
        <v>1.017189535397303</v>
      </c>
      <c r="N74" s="67"/>
      <c r="O74" s="9"/>
      <c r="S74" s="62"/>
      <c r="U74" s="9"/>
      <c r="V74" s="62"/>
      <c r="W74" s="62"/>
      <c r="X74" s="62"/>
    </row>
    <row r="75" spans="2:24" ht="12.75">
      <c r="B75" s="26" t="s">
        <v>197</v>
      </c>
      <c r="C75"/>
      <c r="E75" s="10"/>
      <c r="G75" s="10"/>
      <c r="H75" s="10"/>
      <c r="I75" s="67"/>
      <c r="J75" s="10"/>
      <c r="K75" s="10"/>
      <c r="L75" s="10"/>
      <c r="M75" s="10"/>
      <c r="N75" s="10"/>
      <c r="O75" s="68"/>
      <c r="S75" s="10"/>
      <c r="U75" s="26"/>
      <c r="V75" s="10"/>
      <c r="W75" s="10"/>
      <c r="X75" s="10"/>
    </row>
    <row r="76" spans="2:24" ht="12.75">
      <c r="B76" s="10"/>
      <c r="C76"/>
      <c r="D76" s="9" t="s">
        <v>198</v>
      </c>
      <c r="E76" s="67"/>
      <c r="F76" s="67"/>
      <c r="G76" s="67">
        <f>G70/$P$76</f>
        <v>0</v>
      </c>
      <c r="H76" s="67"/>
      <c r="I76" s="67">
        <f>I70/$P$76</f>
        <v>0.06195028260765252</v>
      </c>
      <c r="J76" s="67"/>
      <c r="K76" s="67">
        <f>K70/$P$76</f>
        <v>0.06195028260765252</v>
      </c>
      <c r="L76" s="67"/>
      <c r="M76" s="67">
        <f>M70/$P$76</f>
        <v>0.06796339401689017</v>
      </c>
      <c r="N76" s="67"/>
      <c r="O76" s="26"/>
      <c r="P76" s="10">
        <v>789.24</v>
      </c>
      <c r="Q76" t="s">
        <v>199</v>
      </c>
      <c r="R76" s="67"/>
      <c r="S76" s="67"/>
      <c r="U76" s="9"/>
      <c r="V76" s="67"/>
      <c r="W76" s="67"/>
      <c r="X76" s="67"/>
    </row>
    <row r="77" spans="2:24" ht="12.75">
      <c r="B77" s="10"/>
      <c r="C77"/>
      <c r="D77" s="9" t="s">
        <v>200</v>
      </c>
      <c r="E77" s="67"/>
      <c r="F77" s="67"/>
      <c r="G77" s="67">
        <f>G76+G72/(G74*$P$67)</f>
        <v>1.0093190599775501</v>
      </c>
      <c r="H77" s="67"/>
      <c r="I77" s="67">
        <f>I76+I72/(I74*$P$67)</f>
        <v>1.0132487556865364</v>
      </c>
      <c r="J77" s="67"/>
      <c r="K77" s="67">
        <f>K76+K72/(K74*$P$67)</f>
        <v>1.0132487556865364</v>
      </c>
      <c r="L77" s="67"/>
      <c r="M77" s="67">
        <f>M76+M72/(M74*$P$67)</f>
        <v>1.0136484555877026</v>
      </c>
      <c r="N77" s="67"/>
      <c r="O77" s="9"/>
      <c r="R77" s="67"/>
      <c r="S77" s="67"/>
      <c r="U77" s="9"/>
      <c r="V77" s="67"/>
      <c r="W77" s="67"/>
      <c r="X77" s="67"/>
    </row>
    <row r="78" spans="2:24" ht="12.75">
      <c r="B78" s="10"/>
      <c r="C78"/>
      <c r="D78" s="68" t="s">
        <v>201</v>
      </c>
      <c r="E78" s="67"/>
      <c r="F78" s="67"/>
      <c r="G78" s="67">
        <f>100*G76/G77</f>
        <v>0</v>
      </c>
      <c r="H78" s="67"/>
      <c r="I78" s="67">
        <f>100*I76/I77</f>
        <v>6.1140250367914355</v>
      </c>
      <c r="J78" s="67"/>
      <c r="K78" s="67">
        <f>100*K76/K77</f>
        <v>6.1140250367914355</v>
      </c>
      <c r="L78" s="67"/>
      <c r="M78" s="67">
        <f>100*M76/M77</f>
        <v>6.704828843002155</v>
      </c>
      <c r="N78" s="67"/>
      <c r="O78" s="9"/>
      <c r="P78" s="26" t="s">
        <v>202</v>
      </c>
      <c r="S78" s="10"/>
      <c r="U78" s="68"/>
      <c r="V78" s="10"/>
      <c r="W78" s="10"/>
      <c r="X78" s="10"/>
    </row>
    <row r="79" spans="2:24" ht="12.75">
      <c r="B79" s="10"/>
      <c r="C79"/>
      <c r="D79" s="68" t="s">
        <v>203</v>
      </c>
      <c r="E79" s="67"/>
      <c r="F79" s="67"/>
      <c r="G79" s="67">
        <f>($P$79*G78^3+$Q$79*G78^2+$R$79*G78)*(1+$P$83/100)</f>
        <v>0</v>
      </c>
      <c r="H79" s="67"/>
      <c r="I79" s="67">
        <f>($P$79*I78^3+$Q$79*I78^2+$R$79*I78)*(1+$P$83/100)</f>
        <v>-0.41566769306214457</v>
      </c>
      <c r="J79" s="67"/>
      <c r="K79" s="67">
        <f>($P$79*K78^3+$Q$79*K78^2+$R$79*K78)*(1+$P$83/100)</f>
        <v>-0.41566769306214457</v>
      </c>
      <c r="L79" s="67"/>
      <c r="M79" s="67">
        <f>($P$79*M78^3+$Q$79*M78^2+$R$79*M78)*(1+$P$83/100)</f>
        <v>-0.462691760807434</v>
      </c>
      <c r="N79" s="67"/>
      <c r="O79" s="9"/>
      <c r="P79" s="69">
        <v>3.15E-05</v>
      </c>
      <c r="Q79" s="10">
        <v>-0.002135</v>
      </c>
      <c r="R79" s="10">
        <v>-0.05611</v>
      </c>
      <c r="S79" s="62"/>
      <c r="U79" s="68"/>
      <c r="V79" s="62"/>
      <c r="W79" s="62"/>
      <c r="X79" s="62"/>
    </row>
    <row r="80" spans="2:24" ht="12.75">
      <c r="B80" s="26" t="s">
        <v>204</v>
      </c>
      <c r="C80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9"/>
      <c r="P80" s="67"/>
      <c r="Q80" s="67"/>
      <c r="R80" s="67"/>
      <c r="S80" s="67"/>
      <c r="U80" s="26"/>
      <c r="V80" s="67"/>
      <c r="W80" s="67"/>
      <c r="X80" s="67"/>
    </row>
    <row r="81" spans="2:24" ht="12.75">
      <c r="B81" s="10"/>
      <c r="C81"/>
      <c r="D81" s="9" t="s">
        <v>205</v>
      </c>
      <c r="E81" s="67"/>
      <c r="F81" s="67"/>
      <c r="G81" s="67">
        <f>G77*(1+G79/100)</f>
        <v>1.0093190599775501</v>
      </c>
      <c r="H81" s="67"/>
      <c r="I81" s="67">
        <f>I77*(1+I79/100)</f>
        <v>1.0090370079587931</v>
      </c>
      <c r="J81" s="67"/>
      <c r="K81" s="67">
        <f>K77*(1+K79/100)</f>
        <v>1.0090370079587931</v>
      </c>
      <c r="L81" s="67"/>
      <c r="M81" s="67">
        <f>M77*(1+M79/100)</f>
        <v>1.0089583877001465</v>
      </c>
      <c r="N81" s="67"/>
      <c r="O81" s="9"/>
      <c r="P81" s="26" t="s">
        <v>206</v>
      </c>
      <c r="Q81" s="67"/>
      <c r="R81" s="67"/>
      <c r="S81" s="67"/>
      <c r="U81" s="9"/>
      <c r="V81" s="67"/>
      <c r="W81" s="67"/>
      <c r="X81" s="67"/>
    </row>
    <row r="82" spans="2:24" ht="12.75">
      <c r="B82" s="10"/>
      <c r="C82"/>
      <c r="D82" s="9" t="s">
        <v>207</v>
      </c>
      <c r="E82" s="55"/>
      <c r="F82" s="55"/>
      <c r="G82" s="55">
        <f>G72+G70</f>
        <v>1067.4943731199999</v>
      </c>
      <c r="H82" s="55"/>
      <c r="I82" s="55">
        <f>I72+I70</f>
        <v>1018.6007320747362</v>
      </c>
      <c r="J82" s="55"/>
      <c r="K82" s="55">
        <f>K72+K70</f>
        <v>1018.6007320747362</v>
      </c>
      <c r="L82" s="55"/>
      <c r="M82" s="55">
        <f>M72+M70</f>
        <v>1013.8549440261095</v>
      </c>
      <c r="N82" s="55"/>
      <c r="O82" s="9"/>
      <c r="P82" s="26" t="s">
        <v>208</v>
      </c>
      <c r="R82" s="67"/>
      <c r="S82" s="67"/>
      <c r="U82" s="9"/>
      <c r="V82" s="67"/>
      <c r="W82" s="67"/>
      <c r="X82" s="67"/>
    </row>
    <row r="83" spans="2:24" ht="12.75">
      <c r="B83" s="10"/>
      <c r="C83"/>
      <c r="D83" s="9" t="s">
        <v>209</v>
      </c>
      <c r="E83" s="55"/>
      <c r="F83" s="55"/>
      <c r="G83" s="55">
        <f>G82/G81</f>
        <v>1057.6381794907784</v>
      </c>
      <c r="H83" s="55"/>
      <c r="I83" s="55">
        <f>I82/I81</f>
        <v>1009.4780707154536</v>
      </c>
      <c r="J83" s="55"/>
      <c r="K83" s="55">
        <f>K82/K81</f>
        <v>1009.4780707154536</v>
      </c>
      <c r="L83" s="55"/>
      <c r="M83" s="55">
        <f>M82/M81</f>
        <v>1004.8530805488663</v>
      </c>
      <c r="N83" s="55"/>
      <c r="O83" s="9"/>
      <c r="P83" s="179">
        <v>0</v>
      </c>
      <c r="Q83" s="79" t="s">
        <v>210</v>
      </c>
      <c r="R83" s="67"/>
      <c r="S83" s="67"/>
      <c r="U83" s="9"/>
      <c r="V83" s="67"/>
      <c r="W83" s="67"/>
      <c r="X83" s="67"/>
    </row>
    <row r="84" spans="2:24" ht="12.75">
      <c r="B84" s="10"/>
      <c r="C84"/>
      <c r="D84" s="9" t="s">
        <v>95</v>
      </c>
      <c r="E84" s="67"/>
      <c r="F84" s="67"/>
      <c r="G84" s="67">
        <f>G83/$P$67</f>
        <v>1.0595386740103507</v>
      </c>
      <c r="H84" s="67"/>
      <c r="I84" s="67">
        <f>I83/$P$67</f>
        <v>1.0112920252210926</v>
      </c>
      <c r="J84" s="67"/>
      <c r="K84" s="67">
        <f>K83/$P$67</f>
        <v>1.0112920252210926</v>
      </c>
      <c r="L84" s="67"/>
      <c r="M84" s="67">
        <f>M83/$P$67</f>
        <v>1.006658724302648</v>
      </c>
      <c r="N84" s="67"/>
      <c r="O84" s="9"/>
      <c r="P84" s="67"/>
      <c r="Q84" s="67"/>
      <c r="R84" s="67"/>
      <c r="S84" s="67"/>
      <c r="U84" s="9"/>
      <c r="V84" s="67"/>
      <c r="W84" s="67"/>
      <c r="X84" s="67"/>
    </row>
    <row r="85" spans="2:24" ht="12.75">
      <c r="B85" s="10"/>
      <c r="C85"/>
      <c r="D85" s="9" t="s">
        <v>211</v>
      </c>
      <c r="E85" s="58"/>
      <c r="F85" s="58"/>
      <c r="G85" s="58">
        <f>100*G76/G81</f>
        <v>0</v>
      </c>
      <c r="H85" s="58"/>
      <c r="I85" s="58">
        <f>100*I76/I81</f>
        <v>6.139545142449565</v>
      </c>
      <c r="J85" s="58"/>
      <c r="K85" s="58">
        <f>100*K76/K81</f>
        <v>6.139545142449565</v>
      </c>
      <c r="L85" s="58"/>
      <c r="M85" s="58">
        <f>100*M76/M81</f>
        <v>6.735995740300867</v>
      </c>
      <c r="N85" s="58"/>
      <c r="O85" s="9"/>
      <c r="P85"/>
      <c r="Q85" s="10"/>
      <c r="R85" s="10"/>
      <c r="S85" s="10"/>
      <c r="U85" s="9"/>
      <c r="V85" s="10"/>
      <c r="W85" s="10"/>
      <c r="X85" s="10"/>
    </row>
    <row r="86" spans="2:24" ht="12.75">
      <c r="B86" s="10"/>
      <c r="C86"/>
      <c r="D86" s="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9"/>
      <c r="P86"/>
      <c r="Q86" s="10"/>
      <c r="R86" s="10"/>
      <c r="S86" s="10"/>
      <c r="U86" s="9"/>
      <c r="V86" s="10"/>
      <c r="W86" s="10"/>
      <c r="X86" s="10"/>
    </row>
    <row r="87" spans="2:5" ht="12.75">
      <c r="B87" s="70" t="s">
        <v>267</v>
      </c>
      <c r="E87" s="26" t="s">
        <v>212</v>
      </c>
    </row>
    <row r="88" spans="4:17" ht="12.75">
      <c r="D88" s="9" t="s">
        <v>213</v>
      </c>
      <c r="E88" s="9" t="s">
        <v>194</v>
      </c>
      <c r="F88" s="58">
        <f>L47*F47/100</f>
        <v>2.5471813618182453</v>
      </c>
      <c r="G88" t="s">
        <v>5</v>
      </c>
      <c r="K88" s="71" t="s">
        <v>6</v>
      </c>
      <c r="L88" s="58">
        <f>1000*F88/P91</f>
        <v>1.5821002247318294</v>
      </c>
      <c r="M88" t="s">
        <v>214</v>
      </c>
      <c r="P88" s="10">
        <v>90</v>
      </c>
      <c r="Q88" s="26" t="s">
        <v>215</v>
      </c>
    </row>
    <row r="89" spans="4:17" ht="12.75">
      <c r="D89" s="9" t="s">
        <v>216</v>
      </c>
      <c r="E89" s="9" t="s">
        <v>194</v>
      </c>
      <c r="F89" s="58">
        <f>F88*P88/P89</f>
        <v>1.7107934519674781</v>
      </c>
      <c r="G89" t="s">
        <v>5</v>
      </c>
      <c r="K89" s="71" t="s">
        <v>6</v>
      </c>
      <c r="L89" s="58">
        <f>1000*F89/P90</f>
        <v>1.3686347615739825</v>
      </c>
      <c r="M89" t="s">
        <v>214</v>
      </c>
      <c r="P89" s="10">
        <v>134</v>
      </c>
      <c r="Q89" s="26" t="s">
        <v>217</v>
      </c>
    </row>
    <row r="90" spans="5:17" ht="12.75">
      <c r="E90" s="9" t="s">
        <v>218</v>
      </c>
      <c r="F90" s="58">
        <f>F89-F88</f>
        <v>-0.8363879098507672</v>
      </c>
      <c r="G90" t="s">
        <v>219</v>
      </c>
      <c r="K90" s="71" t="s">
        <v>220</v>
      </c>
      <c r="L90" s="58">
        <f>L89-L88</f>
        <v>-0.21346546315784698</v>
      </c>
      <c r="M90" t="s">
        <v>214</v>
      </c>
      <c r="P90" s="72">
        <v>1250</v>
      </c>
      <c r="Q90" t="s">
        <v>221</v>
      </c>
    </row>
    <row r="91" spans="3:17" ht="12.75">
      <c r="C91" s="9" t="s">
        <v>222</v>
      </c>
      <c r="D91" s="55">
        <f>M83+F90</f>
        <v>1004.0166926390156</v>
      </c>
      <c r="E91" s="26" t="s">
        <v>78</v>
      </c>
      <c r="F91" s="62"/>
      <c r="G91" s="9" t="s">
        <v>223</v>
      </c>
      <c r="H91" s="67">
        <f>1+L90/1000</f>
        <v>0.9997865345368422</v>
      </c>
      <c r="I91" t="s">
        <v>100</v>
      </c>
      <c r="K91" s="9" t="s">
        <v>224</v>
      </c>
      <c r="L91" s="55">
        <f>D91/H91</f>
        <v>1004.2310612876308</v>
      </c>
      <c r="M91" t="s">
        <v>1</v>
      </c>
      <c r="P91" s="72">
        <v>1610</v>
      </c>
      <c r="Q91" t="s">
        <v>225</v>
      </c>
    </row>
    <row r="92" ht="12.75">
      <c r="B92" s="26"/>
    </row>
    <row r="94" ht="12.75">
      <c r="B94" t="s">
        <v>29</v>
      </c>
    </row>
    <row r="95" s="1" customFormat="1" ht="12.75">
      <c r="B95" s="1" t="s">
        <v>30</v>
      </c>
    </row>
    <row r="96" s="1" customFormat="1" ht="13.5">
      <c r="B96" s="108" t="s">
        <v>31</v>
      </c>
    </row>
    <row r="97" s="1" customFormat="1" ht="12.75">
      <c r="B97" s="1" t="s">
        <v>32</v>
      </c>
    </row>
    <row r="98" s="1" customFormat="1" ht="12.75">
      <c r="B98" s="1" t="s">
        <v>33</v>
      </c>
    </row>
    <row r="101" ht="12.75">
      <c r="B101" s="217" t="s">
        <v>34</v>
      </c>
    </row>
    <row r="106" ht="12.75">
      <c r="B106" s="1"/>
    </row>
    <row r="107" ht="13.5">
      <c r="B107" s="108"/>
    </row>
  </sheetData>
  <sheetProtection/>
  <mergeCells count="9">
    <mergeCell ref="M38:M39"/>
    <mergeCell ref="J36:K37"/>
    <mergeCell ref="L36:L37"/>
    <mergeCell ref="J38:K39"/>
    <mergeCell ref="L38:L39"/>
    <mergeCell ref="P21:Q21"/>
    <mergeCell ref="S21:T21"/>
    <mergeCell ref="P22:Q22"/>
    <mergeCell ref="S22:T2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5" sqref="B5"/>
    </sheetView>
  </sheetViews>
  <sheetFormatPr defaultColWidth="11.421875" defaultRowHeight="12.75"/>
  <cols>
    <col min="1" max="1" width="1.421875" style="1" customWidth="1"/>
    <col min="2" max="2" width="11.7109375" style="1" customWidth="1"/>
    <col min="3" max="9" width="7.7109375" style="1" customWidth="1"/>
    <col min="10" max="10" width="23.421875" style="3" customWidth="1"/>
    <col min="11" max="11" width="11.421875" style="1" customWidth="1"/>
    <col min="12" max="12" width="11.421875" style="6" customWidth="1"/>
    <col min="13" max="17" width="11.421875" style="1" customWidth="1"/>
  </cols>
  <sheetData>
    <row r="1" spans="10:12" ht="8.25" customHeight="1" thickBot="1">
      <c r="J1" s="1"/>
      <c r="L1" s="1"/>
    </row>
    <row r="2" spans="1:17" ht="21" thickBot="1">
      <c r="A2" s="96"/>
      <c r="B2" s="160" t="s">
        <v>240</v>
      </c>
      <c r="C2" s="158"/>
      <c r="D2" s="158"/>
      <c r="E2" s="158"/>
      <c r="F2" s="158"/>
      <c r="G2" s="158"/>
      <c r="H2" s="158"/>
      <c r="I2" s="158"/>
      <c r="J2" s="159"/>
      <c r="K2" s="110">
        <f>Notes!D7</f>
        <v>2016</v>
      </c>
      <c r="L2" s="112" t="str">
        <f>Notes!G7</f>
        <v>Cuvée No 1</v>
      </c>
      <c r="M2" s="109"/>
      <c r="N2" s="109"/>
      <c r="O2" s="109"/>
      <c r="P2" s="109"/>
      <c r="Q2" s="110"/>
    </row>
    <row r="3" spans="1:17" ht="13.5" thickBot="1">
      <c r="A3"/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O3"/>
      <c r="P3"/>
      <c r="Q3"/>
    </row>
    <row r="4" spans="2:17" ht="12.75">
      <c r="B4" s="183" t="s">
        <v>0</v>
      </c>
      <c r="C4" s="184" t="s">
        <v>9</v>
      </c>
      <c r="D4" s="184" t="s">
        <v>232</v>
      </c>
      <c r="E4" s="184" t="s">
        <v>10</v>
      </c>
      <c r="F4" s="185" t="s">
        <v>233</v>
      </c>
      <c r="G4" s="185" t="s">
        <v>11</v>
      </c>
      <c r="H4" s="184" t="s">
        <v>234</v>
      </c>
      <c r="I4" s="184" t="s">
        <v>12</v>
      </c>
      <c r="J4" s="186" t="s">
        <v>13</v>
      </c>
      <c r="K4" s="187"/>
      <c r="L4" s="188"/>
      <c r="M4" s="189"/>
      <c r="N4" s="189"/>
      <c r="O4" s="189"/>
      <c r="P4" s="189"/>
      <c r="Q4" s="190"/>
    </row>
    <row r="5" spans="2:17" ht="12.75">
      <c r="B5" s="191">
        <v>40452</v>
      </c>
      <c r="C5" s="192">
        <v>11</v>
      </c>
      <c r="D5" s="193">
        <v>1.062</v>
      </c>
      <c r="E5" s="192">
        <v>7</v>
      </c>
      <c r="F5" s="194">
        <v>0</v>
      </c>
      <c r="G5" s="195">
        <f aca="true" t="shared" si="0" ref="G5:G27">IF(D5&gt;0,IF(G$29="C",C5,(C5-32)/1.8),"")</f>
        <v>11</v>
      </c>
      <c r="H5" s="196">
        <f>IF(D5&gt;0,(Assemblage!E$44+Assemblage!C$44*D5)*Assemblage!H$46/(Assemblage!C$48+Assemblage!D$48*G5+Assemblage!E$48*G5^2)," ")</f>
        <v>1.060546459173024</v>
      </c>
      <c r="I5" s="197"/>
      <c r="J5" s="198" t="s">
        <v>235</v>
      </c>
      <c r="K5" s="75"/>
      <c r="L5" s="199">
        <f aca="true" t="shared" si="1" ref="L5:L27">IF(J5&lt;&gt;"",H5,"")</f>
        <v>1.060546459173024</v>
      </c>
      <c r="M5" s="75"/>
      <c r="N5" s="75"/>
      <c r="O5" s="75"/>
      <c r="P5" s="75"/>
      <c r="Q5" s="76"/>
    </row>
    <row r="6" spans="2:17" ht="12.75">
      <c r="B6" s="191">
        <v>40454</v>
      </c>
      <c r="C6" s="192">
        <v>11</v>
      </c>
      <c r="D6" s="193">
        <v>1.062</v>
      </c>
      <c r="E6" s="192"/>
      <c r="F6" s="194">
        <f aca="true" t="shared" si="2" ref="F6:F27">IF(D6&gt;0,F5+B6-B5,"")</f>
        <v>2</v>
      </c>
      <c r="G6" s="195">
        <f t="shared" si="0"/>
        <v>11</v>
      </c>
      <c r="H6" s="196">
        <f>IF(D6&gt;0,(Assemblage!E$44+Assemblage!C$44*D6)*Assemblage!H$46/(Assemblage!C$48+Assemblage!D$48*G6+Assemblage!E$48*G6^2)," ")</f>
        <v>1.060546459173024</v>
      </c>
      <c r="I6" s="194">
        <f aca="true" t="shared" si="3" ref="I6:I27">IF(D6&gt;0,100000*(H5-H6)/(B6-B5)," ")</f>
        <v>0</v>
      </c>
      <c r="J6" s="198" t="s">
        <v>236</v>
      </c>
      <c r="K6" s="200"/>
      <c r="L6" s="199">
        <f t="shared" si="1"/>
        <v>1.060546459173024</v>
      </c>
      <c r="M6" s="75"/>
      <c r="N6" s="75"/>
      <c r="O6" s="75"/>
      <c r="P6" s="75"/>
      <c r="Q6" s="76"/>
    </row>
    <row r="7" spans="2:17" ht="12.75">
      <c r="B7" s="191">
        <v>40471</v>
      </c>
      <c r="C7" s="192">
        <v>10</v>
      </c>
      <c r="D7" s="193">
        <v>1.035</v>
      </c>
      <c r="E7" s="192"/>
      <c r="F7" s="194">
        <f t="shared" si="2"/>
        <v>19</v>
      </c>
      <c r="G7" s="195">
        <f t="shared" si="0"/>
        <v>10</v>
      </c>
      <c r="H7" s="196">
        <f>IF(D7&gt;0,(Assemblage!E$44+Assemblage!C$44*D7)*Assemblage!H$46/(Assemblage!C$48+Assemblage!D$48*G7+Assemblage!E$48*G7^2)," ")</f>
        <v>1.0334907733998624</v>
      </c>
      <c r="I7" s="194">
        <f t="shared" si="3"/>
        <v>159.15109278330377</v>
      </c>
      <c r="J7" s="201" t="s">
        <v>237</v>
      </c>
      <c r="K7" s="75"/>
      <c r="L7" s="199">
        <f t="shared" si="1"/>
        <v>1.0334907733998624</v>
      </c>
      <c r="M7" s="75"/>
      <c r="N7" s="75"/>
      <c r="O7" s="75"/>
      <c r="P7" s="75"/>
      <c r="Q7" s="76"/>
    </row>
    <row r="8" spans="2:17" ht="12.75">
      <c r="B8" s="191">
        <v>40502</v>
      </c>
      <c r="C8" s="192">
        <v>8</v>
      </c>
      <c r="D8" s="193">
        <v>1.025</v>
      </c>
      <c r="E8" s="192"/>
      <c r="F8" s="194">
        <f t="shared" si="2"/>
        <v>50</v>
      </c>
      <c r="G8" s="195">
        <f>IF(D8&gt;0,IF(G$29="C",C8,(C8-32)/1.8),"")</f>
        <v>8</v>
      </c>
      <c r="H8" s="196">
        <f>IF(D8&gt;0,(Assemblage!E$44+Assemblage!C$44*D8)*Assemblage!H$46/(Assemblage!C$48+Assemblage!D$48*G8+Assemblage!E$48*G8^2)," ")</f>
        <v>1.0233587610691341</v>
      </c>
      <c r="I8" s="194">
        <f t="shared" si="3"/>
        <v>32.68391074428467</v>
      </c>
      <c r="J8" s="198"/>
      <c r="K8" s="75"/>
      <c r="L8" s="199">
        <f t="shared" si="1"/>
      </c>
      <c r="M8" s="75"/>
      <c r="N8" s="75"/>
      <c r="O8" s="75"/>
      <c r="P8" s="75"/>
      <c r="Q8" s="76"/>
    </row>
    <row r="9" spans="2:17" ht="12.75">
      <c r="B9" s="191">
        <v>40568</v>
      </c>
      <c r="C9" s="192">
        <v>7</v>
      </c>
      <c r="D9" s="193">
        <v>1.015</v>
      </c>
      <c r="E9" s="192"/>
      <c r="F9" s="194">
        <f t="shared" si="2"/>
        <v>116</v>
      </c>
      <c r="G9" s="195">
        <f t="shared" si="0"/>
        <v>7</v>
      </c>
      <c r="H9" s="196">
        <f>IF(D9&gt;0,(Assemblage!E$44+Assemblage!C$44*D9)*Assemblage!H$46/(Assemblage!C$48+Assemblage!D$48*G9+Assemblage!E$48*G9^2)," ")</f>
        <v>1.0133204487064598</v>
      </c>
      <c r="I9" s="194">
        <f t="shared" si="3"/>
        <v>15.209564185870278</v>
      </c>
      <c r="J9" s="198"/>
      <c r="K9" s="75"/>
      <c r="L9" s="199">
        <f t="shared" si="1"/>
      </c>
      <c r="M9" s="75"/>
      <c r="N9" s="75"/>
      <c r="O9" s="75"/>
      <c r="P9" s="75"/>
      <c r="Q9" s="76"/>
    </row>
    <row r="10" spans="2:17" ht="12.75">
      <c r="B10" s="191">
        <v>40632</v>
      </c>
      <c r="C10" s="192">
        <v>8</v>
      </c>
      <c r="D10" s="193">
        <v>1.008</v>
      </c>
      <c r="E10" s="192">
        <v>6.5</v>
      </c>
      <c r="F10" s="194">
        <f t="shared" si="2"/>
        <v>180</v>
      </c>
      <c r="G10" s="195">
        <f t="shared" si="0"/>
        <v>8</v>
      </c>
      <c r="H10" s="196">
        <f>IF(D10&gt;0,(Assemblage!E$44+Assemblage!C$44*D10)*Assemblage!H$46/(Assemblage!C$48+Assemblage!D$48*G10+Assemblage!E$48*G10^2)," ")</f>
        <v>1.006385981617256</v>
      </c>
      <c r="I10" s="194">
        <f t="shared" si="3"/>
        <v>10.835104826880867</v>
      </c>
      <c r="J10" s="198" t="s">
        <v>238</v>
      </c>
      <c r="K10" s="75"/>
      <c r="L10" s="199">
        <f t="shared" si="1"/>
        <v>1.006385981617256</v>
      </c>
      <c r="M10" s="75"/>
      <c r="N10" s="75"/>
      <c r="O10" s="75"/>
      <c r="P10" s="75"/>
      <c r="Q10" s="76"/>
    </row>
    <row r="11" spans="2:17" ht="12.75">
      <c r="B11" s="191">
        <v>40724</v>
      </c>
      <c r="C11" s="192">
        <v>12</v>
      </c>
      <c r="D11" s="193">
        <v>1.005</v>
      </c>
      <c r="E11" s="192"/>
      <c r="F11" s="194">
        <f t="shared" si="2"/>
        <v>272</v>
      </c>
      <c r="G11" s="195">
        <f t="shared" si="0"/>
        <v>12</v>
      </c>
      <c r="H11" s="196">
        <f>IF(D11&gt;0,(Assemblage!E$44+Assemblage!C$44*D11)*Assemblage!H$46/(Assemblage!C$48+Assemblage!D$48*G11+Assemblage!E$48*G11^2)," ")</f>
        <v>1.0037264961087486</v>
      </c>
      <c r="I11" s="194">
        <f t="shared" si="3"/>
        <v>2.890745117942787</v>
      </c>
      <c r="J11" s="198"/>
      <c r="K11" s="75"/>
      <c r="L11" s="199">
        <f t="shared" si="1"/>
      </c>
      <c r="M11" s="75"/>
      <c r="N11" s="75"/>
      <c r="O11" s="75"/>
      <c r="P11" s="75"/>
      <c r="Q11" s="76"/>
    </row>
    <row r="12" spans="2:17" ht="12.75">
      <c r="B12" s="191">
        <v>40806</v>
      </c>
      <c r="C12" s="192">
        <v>11</v>
      </c>
      <c r="D12" s="193">
        <v>1.004</v>
      </c>
      <c r="E12" s="192">
        <v>4.5</v>
      </c>
      <c r="F12" s="194">
        <f t="shared" si="2"/>
        <v>354</v>
      </c>
      <c r="G12" s="195">
        <f t="shared" si="0"/>
        <v>11</v>
      </c>
      <c r="H12" s="196">
        <f>IF(D12&gt;0,(Assemblage!E$44+Assemblage!C$44*D12)*Assemblage!H$46/(Assemblage!C$48+Assemblage!D$48*G12+Assemblage!E$48*G12^2)," ")</f>
        <v>1.002625842758678</v>
      </c>
      <c r="I12" s="194">
        <f t="shared" si="3"/>
        <v>1.3422601830129155</v>
      </c>
      <c r="J12" s="198" t="s">
        <v>239</v>
      </c>
      <c r="K12" s="75"/>
      <c r="L12" s="199">
        <f t="shared" si="1"/>
        <v>1.002625842758678</v>
      </c>
      <c r="M12" s="75"/>
      <c r="N12" s="75"/>
      <c r="O12" s="75"/>
      <c r="P12" s="75"/>
      <c r="Q12" s="76"/>
    </row>
    <row r="13" spans="2:17" ht="12.75">
      <c r="B13" s="191"/>
      <c r="C13" s="192"/>
      <c r="D13" s="193"/>
      <c r="E13" s="192"/>
      <c r="F13" s="194">
        <f t="shared" si="2"/>
      </c>
      <c r="G13" s="195">
        <f t="shared" si="0"/>
      </c>
      <c r="H13" s="196" t="str">
        <f>IF(D13&gt;0,(Assemblage!E$44+Assemblage!C$44*D13)*Assemblage!H$46/(Assemblage!C$48+Assemblage!D$48*G13+Assemblage!E$48*G13^2)," ")</f>
        <v> </v>
      </c>
      <c r="I13" s="194" t="str">
        <f t="shared" si="3"/>
        <v> </v>
      </c>
      <c r="J13" s="198"/>
      <c r="K13" s="75"/>
      <c r="L13" s="199">
        <f t="shared" si="1"/>
      </c>
      <c r="M13" s="75"/>
      <c r="N13" s="75"/>
      <c r="O13" s="75"/>
      <c r="P13" s="75"/>
      <c r="Q13" s="76"/>
    </row>
    <row r="14" spans="2:17" ht="12.75">
      <c r="B14" s="191"/>
      <c r="C14" s="192"/>
      <c r="D14" s="193"/>
      <c r="E14" s="192"/>
      <c r="F14" s="194">
        <f t="shared" si="2"/>
      </c>
      <c r="G14" s="195">
        <f t="shared" si="0"/>
      </c>
      <c r="H14" s="196" t="str">
        <f>IF(D14&gt;0,(Assemblage!E$44+Assemblage!C$44*D14)*Assemblage!H$46/(Assemblage!C$48+Assemblage!D$48*G14+Assemblage!E$48*G14^2)," ")</f>
        <v> </v>
      </c>
      <c r="I14" s="194" t="str">
        <f t="shared" si="3"/>
        <v> </v>
      </c>
      <c r="J14" s="198"/>
      <c r="K14" s="75"/>
      <c r="L14" s="199">
        <f t="shared" si="1"/>
      </c>
      <c r="M14" s="75"/>
      <c r="N14" s="75"/>
      <c r="O14" s="75"/>
      <c r="P14" s="75"/>
      <c r="Q14" s="76"/>
    </row>
    <row r="15" spans="2:17" ht="12.75">
      <c r="B15" s="191"/>
      <c r="C15" s="192"/>
      <c r="D15" s="193"/>
      <c r="E15" s="192"/>
      <c r="F15" s="194">
        <f t="shared" si="2"/>
      </c>
      <c r="G15" s="195">
        <f t="shared" si="0"/>
      </c>
      <c r="H15" s="196" t="str">
        <f>IF(D15&gt;0,(Assemblage!E$44+Assemblage!C$44*D15)*Assemblage!H$46/(Assemblage!C$48+Assemblage!D$48*G15+Assemblage!E$48*G15^2)," ")</f>
        <v> </v>
      </c>
      <c r="I15" s="194" t="str">
        <f t="shared" si="3"/>
        <v> </v>
      </c>
      <c r="J15" s="198"/>
      <c r="K15" s="75"/>
      <c r="L15" s="199">
        <f t="shared" si="1"/>
      </c>
      <c r="M15" s="75"/>
      <c r="N15" s="75"/>
      <c r="O15" s="75"/>
      <c r="P15" s="75"/>
      <c r="Q15" s="76"/>
    </row>
    <row r="16" spans="2:17" ht="12.75">
      <c r="B16" s="191"/>
      <c r="C16" s="192"/>
      <c r="D16" s="193"/>
      <c r="E16" s="192"/>
      <c r="F16" s="194">
        <f t="shared" si="2"/>
      </c>
      <c r="G16" s="195">
        <f t="shared" si="0"/>
      </c>
      <c r="H16" s="196" t="str">
        <f>IF(D16&gt;0,(Assemblage!E$44+Assemblage!C$44*D16)*Assemblage!H$46/(Assemblage!C$48+Assemblage!D$48*G16+Assemblage!E$48*G16^2)," ")</f>
        <v> </v>
      </c>
      <c r="I16" s="194" t="str">
        <f t="shared" si="3"/>
        <v> </v>
      </c>
      <c r="J16" s="198"/>
      <c r="K16" s="75"/>
      <c r="L16" s="199">
        <f t="shared" si="1"/>
      </c>
      <c r="M16" s="75"/>
      <c r="N16" s="75"/>
      <c r="O16" s="75"/>
      <c r="P16" s="75"/>
      <c r="Q16" s="76"/>
    </row>
    <row r="17" spans="2:17" ht="12.75">
      <c r="B17" s="191"/>
      <c r="C17" s="192"/>
      <c r="D17" s="193"/>
      <c r="E17" s="192"/>
      <c r="F17" s="194">
        <f t="shared" si="2"/>
      </c>
      <c r="G17" s="195">
        <f t="shared" si="0"/>
      </c>
      <c r="H17" s="196" t="str">
        <f>IF(D17&gt;0,(Assemblage!E$44+Assemblage!C$44*D17)*Assemblage!H$46/(Assemblage!C$48+Assemblage!D$48*G17+Assemblage!E$48*G17^2)," ")</f>
        <v> </v>
      </c>
      <c r="I17" s="194" t="str">
        <f t="shared" si="3"/>
        <v> </v>
      </c>
      <c r="J17" s="198"/>
      <c r="K17" s="75"/>
      <c r="L17" s="199">
        <f t="shared" si="1"/>
      </c>
      <c r="M17" s="75"/>
      <c r="N17" s="75"/>
      <c r="O17" s="75"/>
      <c r="P17" s="75"/>
      <c r="Q17" s="76"/>
    </row>
    <row r="18" spans="2:17" ht="12.75">
      <c r="B18" s="191"/>
      <c r="C18" s="192"/>
      <c r="D18" s="193"/>
      <c r="E18" s="192"/>
      <c r="F18" s="194">
        <f t="shared" si="2"/>
      </c>
      <c r="G18" s="195">
        <f t="shared" si="0"/>
      </c>
      <c r="H18" s="196" t="str">
        <f>IF(D18&gt;0,(Assemblage!E$44+Assemblage!C$44*D18)*Assemblage!H$46/(Assemblage!C$48+Assemblage!D$48*G18+Assemblage!E$48*G18^2)," ")</f>
        <v> </v>
      </c>
      <c r="I18" s="194" t="str">
        <f t="shared" si="3"/>
        <v> </v>
      </c>
      <c r="J18" s="198"/>
      <c r="K18" s="75"/>
      <c r="L18" s="199">
        <f t="shared" si="1"/>
      </c>
      <c r="M18" s="75"/>
      <c r="N18" s="75"/>
      <c r="O18" s="75"/>
      <c r="P18" s="75"/>
      <c r="Q18" s="76"/>
    </row>
    <row r="19" spans="2:17" ht="12.75">
      <c r="B19" s="191"/>
      <c r="C19" s="192"/>
      <c r="D19" s="193"/>
      <c r="E19" s="192"/>
      <c r="F19" s="194">
        <f t="shared" si="2"/>
      </c>
      <c r="G19" s="195">
        <f t="shared" si="0"/>
      </c>
      <c r="H19" s="196" t="str">
        <f>IF(D19&gt;0,(Assemblage!E$44+Assemblage!C$44*D19)*Assemblage!H$46/(Assemblage!C$48+Assemblage!D$48*G19+Assemblage!E$48*G19^2)," ")</f>
        <v> </v>
      </c>
      <c r="I19" s="194" t="str">
        <f t="shared" si="3"/>
        <v> </v>
      </c>
      <c r="J19" s="198"/>
      <c r="K19" s="75"/>
      <c r="L19" s="199">
        <f t="shared" si="1"/>
      </c>
      <c r="M19" s="75"/>
      <c r="N19" s="75"/>
      <c r="O19" s="75"/>
      <c r="P19" s="75"/>
      <c r="Q19" s="76"/>
    </row>
    <row r="20" spans="2:17" ht="12.75">
      <c r="B20" s="191"/>
      <c r="C20" s="192"/>
      <c r="D20" s="193"/>
      <c r="E20" s="192"/>
      <c r="F20" s="194">
        <f t="shared" si="2"/>
      </c>
      <c r="G20" s="195">
        <f t="shared" si="0"/>
      </c>
      <c r="H20" s="196" t="str">
        <f>IF(D20&gt;0,(Assemblage!E$44+Assemblage!C$44*D20)*Assemblage!H$46/(Assemblage!C$48+Assemblage!D$48*G20+Assemblage!E$48*G20^2)," ")</f>
        <v> </v>
      </c>
      <c r="I20" s="194" t="str">
        <f t="shared" si="3"/>
        <v> </v>
      </c>
      <c r="J20" s="198"/>
      <c r="K20" s="75"/>
      <c r="L20" s="199">
        <f t="shared" si="1"/>
      </c>
      <c r="M20" s="75"/>
      <c r="N20" s="75"/>
      <c r="O20" s="75"/>
      <c r="P20" s="75"/>
      <c r="Q20" s="76"/>
    </row>
    <row r="21" spans="2:17" ht="12.75">
      <c r="B21" s="191"/>
      <c r="C21" s="192"/>
      <c r="D21" s="193"/>
      <c r="E21" s="192"/>
      <c r="F21" s="194">
        <f t="shared" si="2"/>
      </c>
      <c r="G21" s="195">
        <f t="shared" si="0"/>
      </c>
      <c r="H21" s="196" t="str">
        <f>IF(D21&gt;0,(Assemblage!E$44+Assemblage!C$44*D21)*Assemblage!H$46/(Assemblage!C$48+Assemblage!D$48*G21+Assemblage!E$48*G21^2)," ")</f>
        <v> </v>
      </c>
      <c r="I21" s="194" t="str">
        <f t="shared" si="3"/>
        <v> </v>
      </c>
      <c r="J21" s="198"/>
      <c r="K21" s="75"/>
      <c r="L21" s="199">
        <f t="shared" si="1"/>
      </c>
      <c r="M21" s="75"/>
      <c r="N21" s="75"/>
      <c r="O21" s="75"/>
      <c r="P21" s="75"/>
      <c r="Q21" s="76"/>
    </row>
    <row r="22" spans="2:17" ht="12.75">
      <c r="B22" s="191"/>
      <c r="C22" s="192"/>
      <c r="D22" s="193"/>
      <c r="E22" s="192"/>
      <c r="F22" s="194">
        <f t="shared" si="2"/>
      </c>
      <c r="G22" s="195">
        <f t="shared" si="0"/>
      </c>
      <c r="H22" s="196" t="str">
        <f>IF(D22&gt;0,(Assemblage!E$44+Assemblage!C$44*D22)*Assemblage!H$46/(Assemblage!C$48+Assemblage!D$48*G22+Assemblage!E$48*G22^2)," ")</f>
        <v> </v>
      </c>
      <c r="I22" s="194" t="str">
        <f t="shared" si="3"/>
        <v> </v>
      </c>
      <c r="J22" s="198"/>
      <c r="K22" s="75"/>
      <c r="L22" s="199">
        <f t="shared" si="1"/>
      </c>
      <c r="M22" s="75"/>
      <c r="N22" s="75"/>
      <c r="O22" s="75"/>
      <c r="P22" s="75"/>
      <c r="Q22" s="76"/>
    </row>
    <row r="23" spans="2:17" ht="12.75">
      <c r="B23" s="191"/>
      <c r="C23" s="192"/>
      <c r="D23" s="193"/>
      <c r="E23" s="192"/>
      <c r="F23" s="194">
        <f t="shared" si="2"/>
      </c>
      <c r="G23" s="195">
        <f t="shared" si="0"/>
      </c>
      <c r="H23" s="196" t="str">
        <f>IF(D23&gt;0,(Assemblage!E$44+Assemblage!C$44*D23)*Assemblage!H$46/(Assemblage!C$48+Assemblage!D$48*G23+Assemblage!E$48*G23^2)," ")</f>
        <v> </v>
      </c>
      <c r="I23" s="194" t="str">
        <f t="shared" si="3"/>
        <v> </v>
      </c>
      <c r="J23" s="198"/>
      <c r="K23" s="75"/>
      <c r="L23" s="199">
        <f t="shared" si="1"/>
      </c>
      <c r="M23" s="75"/>
      <c r="N23" s="75"/>
      <c r="O23" s="75"/>
      <c r="P23" s="75"/>
      <c r="Q23" s="76"/>
    </row>
    <row r="24" spans="2:17" ht="12.75">
      <c r="B24" s="191"/>
      <c r="C24" s="192"/>
      <c r="D24" s="193"/>
      <c r="E24" s="192"/>
      <c r="F24" s="194">
        <f t="shared" si="2"/>
      </c>
      <c r="G24" s="195">
        <f t="shared" si="0"/>
      </c>
      <c r="H24" s="196" t="str">
        <f>IF(D24&gt;0,(Assemblage!E$44+Assemblage!C$44*D24)*Assemblage!H$46/(Assemblage!C$48+Assemblage!D$48*G24+Assemblage!E$48*G24^2)," ")</f>
        <v> </v>
      </c>
      <c r="I24" s="194" t="str">
        <f t="shared" si="3"/>
        <v> </v>
      </c>
      <c r="J24" s="198"/>
      <c r="K24" s="75"/>
      <c r="L24" s="199">
        <f t="shared" si="1"/>
      </c>
      <c r="M24" s="75"/>
      <c r="N24" s="75"/>
      <c r="O24" s="75"/>
      <c r="P24" s="75"/>
      <c r="Q24" s="76"/>
    </row>
    <row r="25" spans="2:17" ht="12.75">
      <c r="B25" s="191"/>
      <c r="C25" s="192"/>
      <c r="D25" s="193"/>
      <c r="E25" s="192"/>
      <c r="F25" s="194">
        <f t="shared" si="2"/>
      </c>
      <c r="G25" s="195">
        <f t="shared" si="0"/>
      </c>
      <c r="H25" s="196" t="str">
        <f>IF(D25&gt;0,(Assemblage!E$44+Assemblage!C$44*D25)*Assemblage!H$46/(Assemblage!C$48+Assemblage!D$48*G25+Assemblage!E$48*G25^2)," ")</f>
        <v> </v>
      </c>
      <c r="I25" s="194" t="str">
        <f t="shared" si="3"/>
        <v> </v>
      </c>
      <c r="J25" s="198"/>
      <c r="K25" s="75"/>
      <c r="L25" s="199">
        <f t="shared" si="1"/>
      </c>
      <c r="M25" s="75"/>
      <c r="N25" s="75"/>
      <c r="O25" s="75"/>
      <c r="P25" s="75"/>
      <c r="Q25" s="76"/>
    </row>
    <row r="26" spans="2:17" ht="12.75">
      <c r="B26" s="191"/>
      <c r="C26" s="192"/>
      <c r="D26" s="193"/>
      <c r="E26" s="192"/>
      <c r="F26" s="194">
        <f t="shared" si="2"/>
      </c>
      <c r="G26" s="195">
        <f t="shared" si="0"/>
      </c>
      <c r="H26" s="196" t="str">
        <f>IF(D26&gt;0,(Assemblage!E$44+Assemblage!C$44*D26)*Assemblage!H$46/(Assemblage!C$48+Assemblage!D$48*G26+Assemblage!E$48*G26^2)," ")</f>
        <v> </v>
      </c>
      <c r="I26" s="194" t="str">
        <f t="shared" si="3"/>
        <v> </v>
      </c>
      <c r="J26" s="198"/>
      <c r="K26" s="75"/>
      <c r="L26" s="199">
        <f t="shared" si="1"/>
      </c>
      <c r="M26" s="75"/>
      <c r="N26" s="75"/>
      <c r="O26" s="75"/>
      <c r="P26" s="75"/>
      <c r="Q26" s="76"/>
    </row>
    <row r="27" spans="2:17" ht="12.75">
      <c r="B27" s="191"/>
      <c r="C27" s="192"/>
      <c r="D27" s="193"/>
      <c r="E27" s="192"/>
      <c r="F27" s="194">
        <f t="shared" si="2"/>
      </c>
      <c r="G27" s="195">
        <f t="shared" si="0"/>
      </c>
      <c r="H27" s="196" t="str">
        <f>IF(D27&gt;0,(Assemblage!E$44+Assemblage!C$44*D27)*Assemblage!H$46/(Assemblage!C$48+Assemblage!D$48*G27+Assemblage!E$48*G27^2)," ")</f>
        <v> </v>
      </c>
      <c r="I27" s="194" t="str">
        <f t="shared" si="3"/>
        <v> </v>
      </c>
      <c r="J27" s="198"/>
      <c r="K27" s="75"/>
      <c r="L27" s="199">
        <f t="shared" si="1"/>
      </c>
      <c r="M27" s="75"/>
      <c r="N27" s="75"/>
      <c r="O27" s="75"/>
      <c r="P27" s="75"/>
      <c r="Q27" s="76"/>
    </row>
    <row r="28" spans="2:17" ht="12.75">
      <c r="B28" s="202"/>
      <c r="C28" s="75"/>
      <c r="D28" s="75"/>
      <c r="E28" s="75"/>
      <c r="F28" s="75"/>
      <c r="G28" s="75"/>
      <c r="H28" s="75"/>
      <c r="I28" s="75"/>
      <c r="J28" s="203"/>
      <c r="K28" s="75"/>
      <c r="L28" s="199"/>
      <c r="M28" s="75"/>
      <c r="N28" s="75"/>
      <c r="O28" s="75"/>
      <c r="P28" s="75"/>
      <c r="Q28" s="76"/>
    </row>
    <row r="29" spans="2:17" ht="12.75">
      <c r="B29" s="202"/>
      <c r="C29" s="75"/>
      <c r="D29" s="75"/>
      <c r="E29" s="75"/>
      <c r="F29" s="18" t="s">
        <v>243</v>
      </c>
      <c r="G29" s="7" t="s">
        <v>231</v>
      </c>
      <c r="H29" s="75"/>
      <c r="I29" s="75"/>
      <c r="J29" s="203"/>
      <c r="K29" s="75"/>
      <c r="L29" s="199"/>
      <c r="M29" s="75"/>
      <c r="N29" s="75"/>
      <c r="O29" s="75"/>
      <c r="P29" s="75"/>
      <c r="Q29" s="76"/>
    </row>
    <row r="30" spans="2:17" ht="12.75">
      <c r="B30" s="204"/>
      <c r="C30" s="205"/>
      <c r="D30" s="205"/>
      <c r="E30" s="205"/>
      <c r="F30" s="75"/>
      <c r="G30" s="75"/>
      <c r="H30" s="75"/>
      <c r="I30" s="75"/>
      <c r="J30" s="203"/>
      <c r="K30" s="75"/>
      <c r="L30" s="199"/>
      <c r="M30" s="75"/>
      <c r="N30" s="75"/>
      <c r="O30" s="75"/>
      <c r="P30" s="75"/>
      <c r="Q30" s="76"/>
    </row>
    <row r="31" spans="2:17" ht="12.75">
      <c r="B31" s="206" t="s">
        <v>241</v>
      </c>
      <c r="C31" s="207"/>
      <c r="D31" s="207"/>
      <c r="E31" s="208"/>
      <c r="F31" s="75"/>
      <c r="G31" s="75"/>
      <c r="H31" s="75"/>
      <c r="I31" s="75"/>
      <c r="J31" s="75"/>
      <c r="K31" s="75"/>
      <c r="L31" s="199"/>
      <c r="M31" s="75"/>
      <c r="N31" s="75"/>
      <c r="O31" s="75"/>
      <c r="P31" s="75"/>
      <c r="Q31" s="76"/>
    </row>
    <row r="32" spans="2:17" ht="13.5" thickBot="1">
      <c r="B32" s="209" t="s">
        <v>242</v>
      </c>
      <c r="C32" s="210"/>
      <c r="D32" s="211"/>
      <c r="E32" s="212"/>
      <c r="F32" s="213"/>
      <c r="G32" s="213"/>
      <c r="H32" s="213"/>
      <c r="I32" s="77"/>
      <c r="J32" s="77"/>
      <c r="K32" s="77"/>
      <c r="L32" s="214"/>
      <c r="M32" s="77"/>
      <c r="N32" s="77"/>
      <c r="O32" s="77"/>
      <c r="P32" s="77"/>
      <c r="Q32" s="78"/>
    </row>
    <row r="33" spans="4:10" ht="12.75">
      <c r="D33" s="215"/>
      <c r="E33" s="215"/>
      <c r="F33" s="215"/>
      <c r="G33" s="215"/>
      <c r="H33" s="215"/>
      <c r="J33" s="1"/>
    </row>
    <row r="34" spans="4:10" ht="12.75">
      <c r="D34" s="215"/>
      <c r="E34" s="215"/>
      <c r="F34" s="215"/>
      <c r="G34" s="215"/>
      <c r="H34" s="215"/>
      <c r="J34" s="1"/>
    </row>
    <row r="35" spans="2:10" ht="12.75">
      <c r="B35" s="216"/>
      <c r="D35" s="215"/>
      <c r="E35" s="215"/>
      <c r="F35" s="215"/>
      <c r="G35" s="215"/>
      <c r="H35" s="215"/>
      <c r="J35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2012-01-29T16:51:59Z</cp:lastPrinted>
  <dcterms:created xsi:type="dcterms:W3CDTF">2011-05-07T21:11:42Z</dcterms:created>
  <dcterms:modified xsi:type="dcterms:W3CDTF">2015-12-10T04:59:24Z</dcterms:modified>
  <cp:category/>
  <cp:version/>
  <cp:contentType/>
  <cp:contentStatus/>
</cp:coreProperties>
</file>